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trckovam\AiP_Safe_data\r-5980-1800\7369446\"/>
    </mc:Choice>
  </mc:AlternateContent>
  <xr:revisionPtr revIDLastSave="0" documentId="13_ncr:1_{C94D8116-0F1D-43D5-A269-A5F79A426D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ouhrnná tabulka VHČ" sheetId="1" r:id="rId1"/>
    <sheet name="Souhrnná tabulka JMM, a.s." sheetId="11" r:id="rId2"/>
    <sheet name="org. 5" sheetId="3" r:id="rId3"/>
    <sheet name="org. 7" sheetId="20" r:id="rId4"/>
    <sheet name="org. 9" sheetId="13" r:id="rId5"/>
    <sheet name="org. 9 - jmenovité opravy" sheetId="19" r:id="rId6"/>
    <sheet name="org. 10" sheetId="14" r:id="rId7"/>
    <sheet name="org. 11" sheetId="15" r:id="rId8"/>
    <sheet name="Souhrnná tabulka MČ" sheetId="12" r:id="rId9"/>
    <sheet name="org. 140" sheetId="17" r:id="rId10"/>
    <sheet name="org. 333" sheetId="18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8" l="1"/>
  <c r="D30" i="13"/>
  <c r="D14" i="13"/>
  <c r="I33" i="19"/>
  <c r="I32" i="19"/>
  <c r="E8" i="13"/>
  <c r="E10" i="3"/>
  <c r="E8" i="3"/>
  <c r="L10" i="1"/>
  <c r="L9" i="1"/>
  <c r="E29" i="3" l="1"/>
  <c r="E19" i="3"/>
  <c r="E30" i="3"/>
  <c r="E7" i="15"/>
  <c r="E8" i="14"/>
  <c r="E9" i="14"/>
  <c r="M11" i="1" l="1"/>
  <c r="M10" i="1"/>
  <c r="M9" i="1"/>
  <c r="M6" i="1"/>
  <c r="I6" i="1"/>
  <c r="L11" i="1"/>
  <c r="I13" i="1"/>
  <c r="I11" i="1"/>
  <c r="I10" i="1"/>
  <c r="I9" i="1"/>
  <c r="E6" i="1"/>
  <c r="E11" i="1"/>
  <c r="E10" i="1"/>
  <c r="E9" i="1"/>
  <c r="E7" i="1"/>
  <c r="D7" i="1"/>
  <c r="D6" i="1"/>
  <c r="M5" i="11"/>
  <c r="L5" i="11"/>
  <c r="I5" i="11"/>
  <c r="H5" i="11"/>
  <c r="E6" i="11"/>
  <c r="E5" i="11"/>
  <c r="D6" i="11"/>
  <c r="D5" i="11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6" i="15"/>
  <c r="E5" i="15"/>
  <c r="E4" i="15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7" i="14"/>
  <c r="E6" i="14"/>
  <c r="E5" i="14"/>
  <c r="E4" i="14"/>
  <c r="E33" i="13"/>
  <c r="E31" i="13"/>
  <c r="E29" i="13"/>
  <c r="E28" i="13"/>
  <c r="E27" i="13"/>
  <c r="E25" i="13"/>
  <c r="E24" i="13"/>
  <c r="E23" i="13"/>
  <c r="E21" i="13"/>
  <c r="E20" i="13"/>
  <c r="E19" i="13"/>
  <c r="E17" i="13"/>
  <c r="E16" i="13"/>
  <c r="E12" i="13"/>
  <c r="E11" i="13"/>
  <c r="E4" i="13"/>
  <c r="E7" i="13"/>
  <c r="D9" i="13"/>
  <c r="E30" i="20"/>
  <c r="E28" i="20"/>
  <c r="E27" i="20"/>
  <c r="E26" i="20"/>
  <c r="E25" i="20"/>
  <c r="E24" i="20"/>
  <c r="E23" i="20"/>
  <c r="E22" i="20"/>
  <c r="E20" i="20"/>
  <c r="E19" i="20"/>
  <c r="E18" i="20"/>
  <c r="E17" i="20"/>
  <c r="E16" i="20"/>
  <c r="E15" i="20"/>
  <c r="E12" i="20"/>
  <c r="E11" i="20"/>
  <c r="E9" i="20"/>
  <c r="E8" i="20"/>
  <c r="E7" i="20"/>
  <c r="E6" i="20"/>
  <c r="E5" i="20"/>
  <c r="E4" i="20"/>
  <c r="D9" i="20"/>
  <c r="E21" i="18" l="1"/>
  <c r="E20" i="18"/>
  <c r="E18" i="18"/>
  <c r="E17" i="18"/>
  <c r="E16" i="18"/>
  <c r="E15" i="18"/>
  <c r="E13" i="18"/>
  <c r="E12" i="18"/>
  <c r="E11" i="18"/>
  <c r="E9" i="18"/>
  <c r="E7" i="18"/>
  <c r="E6" i="18"/>
  <c r="E5" i="18"/>
  <c r="D11" i="17"/>
  <c r="E11" i="17"/>
  <c r="E14" i="17"/>
  <c r="E12" i="17"/>
  <c r="E9" i="17"/>
  <c r="E8" i="17"/>
  <c r="E6" i="17"/>
  <c r="E5" i="17"/>
  <c r="E35" i="3"/>
  <c r="E33" i="3"/>
  <c r="E32" i="3"/>
  <c r="E31" i="3"/>
  <c r="E28" i="3"/>
  <c r="E27" i="3"/>
  <c r="E25" i="3"/>
  <c r="E24" i="3"/>
  <c r="E23" i="3"/>
  <c r="E21" i="3"/>
  <c r="E20" i="3"/>
  <c r="E18" i="3"/>
  <c r="E16" i="3"/>
  <c r="E15" i="3"/>
  <c r="E14" i="3"/>
  <c r="E12" i="3"/>
  <c r="E11" i="3"/>
  <c r="E9" i="3"/>
  <c r="E7" i="3"/>
  <c r="E4" i="3"/>
  <c r="G30" i="19" l="1"/>
  <c r="G33" i="19" s="1"/>
  <c r="G24" i="19"/>
  <c r="G23" i="19"/>
  <c r="G8" i="19"/>
  <c r="F30" i="19"/>
  <c r="F33" i="19" s="1"/>
  <c r="B6" i="1"/>
  <c r="K5" i="11"/>
  <c r="G5" i="11"/>
  <c r="C6" i="11"/>
  <c r="C5" i="11"/>
  <c r="K6" i="1"/>
  <c r="G6" i="1"/>
  <c r="C7" i="1"/>
  <c r="C6" i="1"/>
  <c r="C19" i="18" l="1"/>
  <c r="C17" i="18"/>
  <c r="C15" i="18"/>
  <c r="C10" i="18"/>
  <c r="C8" i="18"/>
  <c r="C5" i="18"/>
  <c r="B19" i="18"/>
  <c r="B17" i="18"/>
  <c r="B15" i="18"/>
  <c r="B10" i="18"/>
  <c r="B8" i="18"/>
  <c r="B5" i="18"/>
  <c r="C7" i="17"/>
  <c r="C5" i="17"/>
  <c r="B7" i="17"/>
  <c r="B5" i="17"/>
  <c r="C25" i="15"/>
  <c r="C21" i="15"/>
  <c r="C17" i="15"/>
  <c r="C15" i="15"/>
  <c r="C13" i="15"/>
  <c r="C7" i="15"/>
  <c r="C5" i="15"/>
  <c r="B25" i="15"/>
  <c r="B21" i="15"/>
  <c r="B17" i="15"/>
  <c r="B15" i="15"/>
  <c r="B13" i="15"/>
  <c r="B7" i="15"/>
  <c r="B5" i="15"/>
  <c r="C14" i="14"/>
  <c r="C17" i="14"/>
  <c r="C21" i="14"/>
  <c r="C25" i="14"/>
  <c r="C29" i="14"/>
  <c r="C8" i="14"/>
  <c r="C6" i="14"/>
  <c r="B29" i="14"/>
  <c r="B25" i="14"/>
  <c r="B21" i="14"/>
  <c r="B17" i="14"/>
  <c r="B14" i="14"/>
  <c r="B8" i="14"/>
  <c r="B6" i="14"/>
  <c r="C30" i="13"/>
  <c r="C26" i="13"/>
  <c r="C22" i="13"/>
  <c r="C18" i="13"/>
  <c r="C15" i="13"/>
  <c r="C9" i="13"/>
  <c r="E9" i="13" s="1"/>
  <c r="C6" i="13"/>
  <c r="B30" i="13"/>
  <c r="B26" i="13"/>
  <c r="B22" i="13"/>
  <c r="B18" i="13"/>
  <c r="B15" i="13"/>
  <c r="B9" i="13"/>
  <c r="B6" i="13"/>
  <c r="C29" i="20"/>
  <c r="C25" i="20"/>
  <c r="C21" i="20"/>
  <c r="C17" i="20"/>
  <c r="C14" i="20"/>
  <c r="E14" i="20" s="1"/>
  <c r="C9" i="20"/>
  <c r="C7" i="20"/>
  <c r="D29" i="20"/>
  <c r="E29" i="20" s="1"/>
  <c r="D25" i="20"/>
  <c r="B25" i="20"/>
  <c r="D21" i="20"/>
  <c r="E21" i="20" s="1"/>
  <c r="D17" i="20"/>
  <c r="D14" i="20"/>
  <c r="B14" i="20"/>
  <c r="B9" i="20"/>
  <c r="D7" i="20"/>
  <c r="B7" i="20"/>
  <c r="C31" i="3"/>
  <c r="C30" i="3"/>
  <c r="C29" i="3"/>
  <c r="C27" i="3"/>
  <c r="C26" i="3" s="1"/>
  <c r="C25" i="3"/>
  <c r="C23" i="3"/>
  <c r="C22" i="3"/>
  <c r="C21" i="3"/>
  <c r="C20" i="3"/>
  <c r="C17" i="3" s="1"/>
  <c r="C18" i="3"/>
  <c r="C14" i="3"/>
  <c r="B30" i="3"/>
  <c r="B26" i="3"/>
  <c r="B22" i="3"/>
  <c r="B17" i="3"/>
  <c r="B14" i="3"/>
  <c r="C8" i="3"/>
  <c r="C7" i="3"/>
  <c r="C6" i="3"/>
  <c r="B8" i="3"/>
  <c r="B6" i="3"/>
  <c r="B6" i="20" l="1"/>
  <c r="C13" i="20"/>
  <c r="G7" i="1"/>
  <c r="G6" i="11"/>
  <c r="C6" i="20"/>
  <c r="B13" i="20"/>
  <c r="B31" i="20" s="1"/>
  <c r="D6" i="20"/>
  <c r="D13" i="20"/>
  <c r="H6" i="11" s="1"/>
  <c r="D7" i="15"/>
  <c r="D25" i="15"/>
  <c r="D21" i="15"/>
  <c r="D17" i="15"/>
  <c r="D15" i="15"/>
  <c r="D13" i="15"/>
  <c r="D5" i="15"/>
  <c r="D29" i="14"/>
  <c r="D25" i="14"/>
  <c r="D21" i="14"/>
  <c r="D17" i="14"/>
  <c r="D14" i="14"/>
  <c r="D8" i="14"/>
  <c r="D6" i="14"/>
  <c r="H30" i="19"/>
  <c r="H33" i="19" s="1"/>
  <c r="E30" i="13"/>
  <c r="D26" i="13"/>
  <c r="E26" i="13" s="1"/>
  <c r="D22" i="13"/>
  <c r="E22" i="13" s="1"/>
  <c r="D18" i="13"/>
  <c r="E18" i="13" s="1"/>
  <c r="D15" i="13"/>
  <c r="D6" i="13"/>
  <c r="E6" i="13" s="1"/>
  <c r="D30" i="3"/>
  <c r="D26" i="3"/>
  <c r="E26" i="3" s="1"/>
  <c r="D22" i="3"/>
  <c r="E22" i="3" s="1"/>
  <c r="D17" i="3"/>
  <c r="E17" i="3" s="1"/>
  <c r="D14" i="3"/>
  <c r="D8" i="3"/>
  <c r="D6" i="3"/>
  <c r="E6" i="3" s="1"/>
  <c r="E15" i="13" l="1"/>
  <c r="C31" i="20"/>
  <c r="K7" i="1"/>
  <c r="K6" i="11"/>
  <c r="H7" i="1"/>
  <c r="E13" i="20"/>
  <c r="D31" i="20"/>
  <c r="L6" i="11" s="1"/>
  <c r="L18" i="1"/>
  <c r="I6" i="11" l="1"/>
  <c r="I7" i="1"/>
  <c r="L7" i="1"/>
  <c r="E31" i="20"/>
  <c r="C12" i="15"/>
  <c r="D19" i="18"/>
  <c r="E19" i="18" s="1"/>
  <c r="D17" i="18"/>
  <c r="D15" i="18"/>
  <c r="D10" i="18"/>
  <c r="D8" i="18"/>
  <c r="E8" i="18" s="1"/>
  <c r="D5" i="18"/>
  <c r="D10" i="17"/>
  <c r="E10" i="17" s="1"/>
  <c r="D7" i="17"/>
  <c r="D5" i="17"/>
  <c r="M6" i="11" l="1"/>
  <c r="M7" i="1"/>
  <c r="D14" i="18"/>
  <c r="E14" i="18" s="1"/>
  <c r="D4" i="17"/>
  <c r="E7" i="17"/>
  <c r="D4" i="18"/>
  <c r="E4" i="18" s="1"/>
  <c r="E12" i="1" s="1"/>
  <c r="D5" i="3"/>
  <c r="E5" i="3" s="1"/>
  <c r="D13" i="3"/>
  <c r="H6" i="1" l="1"/>
  <c r="E13" i="3"/>
  <c r="D22" i="18"/>
  <c r="D13" i="17"/>
  <c r="E13" i="17" s="1"/>
  <c r="E4" i="17"/>
  <c r="D34" i="3"/>
  <c r="E34" i="3" s="1"/>
  <c r="D13" i="14"/>
  <c r="E22" i="18" l="1"/>
  <c r="L12" i="1"/>
  <c r="D5" i="14"/>
  <c r="D5" i="13"/>
  <c r="I12" i="1" l="1"/>
  <c r="M12" i="1"/>
  <c r="D34" i="13"/>
  <c r="D32" i="14"/>
  <c r="D12" i="15" l="1"/>
  <c r="D4" i="15"/>
  <c r="D27" i="15" l="1"/>
  <c r="K18" i="1" l="1"/>
  <c r="J18" i="1" l="1"/>
  <c r="J14" i="11"/>
  <c r="K14" i="11"/>
  <c r="L14" i="11" l="1"/>
  <c r="J10" i="12" l="1"/>
  <c r="J17" i="1" s="1"/>
  <c r="F4" i="12"/>
  <c r="J4" i="12" l="1"/>
  <c r="B11" i="17"/>
  <c r="B4" i="17" l="1"/>
  <c r="B10" i="17"/>
  <c r="F11" i="1" s="1"/>
  <c r="B4" i="18"/>
  <c r="B12" i="1" s="1"/>
  <c r="B14" i="18"/>
  <c r="C4" i="15"/>
  <c r="B4" i="15"/>
  <c r="C14" i="13" l="1"/>
  <c r="E14" i="13" s="1"/>
  <c r="I8" i="1" s="1"/>
  <c r="F5" i="12"/>
  <c r="F6" i="12"/>
  <c r="F12" i="1"/>
  <c r="C13" i="14"/>
  <c r="G9" i="1" s="1"/>
  <c r="B5" i="13"/>
  <c r="B5" i="3"/>
  <c r="C13" i="3"/>
  <c r="B5" i="12"/>
  <c r="B11" i="1"/>
  <c r="C5" i="3"/>
  <c r="B14" i="13"/>
  <c r="C5" i="13"/>
  <c r="E5" i="13" s="1"/>
  <c r="E8" i="1" s="1"/>
  <c r="C5" i="14"/>
  <c r="B5" i="14"/>
  <c r="B12" i="15"/>
  <c r="D10" i="1"/>
  <c r="D7" i="11"/>
  <c r="D8" i="1" s="1"/>
  <c r="H10" i="1"/>
  <c r="B22" i="18"/>
  <c r="B6" i="12"/>
  <c r="B13" i="3"/>
  <c r="F7" i="12"/>
  <c r="B13" i="14"/>
  <c r="B10" i="1"/>
  <c r="B13" i="17"/>
  <c r="J11" i="1" s="1"/>
  <c r="M14" i="11"/>
  <c r="H9" i="1"/>
  <c r="H8" i="1"/>
  <c r="B5" i="11" l="1"/>
  <c r="J6" i="12"/>
  <c r="J12" i="1"/>
  <c r="F9" i="11"/>
  <c r="F10" i="1"/>
  <c r="G8" i="11"/>
  <c r="B34" i="13"/>
  <c r="J7" i="11" s="1"/>
  <c r="F8" i="1"/>
  <c r="F7" i="11"/>
  <c r="I7" i="11"/>
  <c r="B8" i="1"/>
  <c r="B7" i="11"/>
  <c r="E7" i="11"/>
  <c r="F5" i="11"/>
  <c r="F6" i="1"/>
  <c r="F13" i="1" s="1"/>
  <c r="G8" i="1"/>
  <c r="G7" i="11"/>
  <c r="C34" i="13"/>
  <c r="E34" i="13" s="1"/>
  <c r="M8" i="1" s="1"/>
  <c r="C8" i="1"/>
  <c r="C7" i="11"/>
  <c r="G9" i="11"/>
  <c r="G10" i="1"/>
  <c r="C9" i="11"/>
  <c r="C10" i="1"/>
  <c r="J5" i="12"/>
  <c r="B32" i="14"/>
  <c r="F9" i="1"/>
  <c r="F8" i="11"/>
  <c r="B9" i="1"/>
  <c r="B8" i="11"/>
  <c r="C32" i="14"/>
  <c r="C9" i="1"/>
  <c r="C8" i="11"/>
  <c r="D8" i="11"/>
  <c r="D9" i="1" s="1"/>
  <c r="E8" i="11"/>
  <c r="I8" i="11"/>
  <c r="H9" i="11"/>
  <c r="I9" i="11"/>
  <c r="D9" i="11"/>
  <c r="E9" i="11"/>
  <c r="B27" i="15"/>
  <c r="B9" i="11"/>
  <c r="C27" i="15"/>
  <c r="C34" i="3"/>
  <c r="H7" i="11"/>
  <c r="B34" i="3"/>
  <c r="H8" i="11"/>
  <c r="B7" i="12"/>
  <c r="L10" i="12"/>
  <c r="K10" i="12"/>
  <c r="K17" i="1" s="1"/>
  <c r="M18" i="1"/>
  <c r="K8" i="1" l="1"/>
  <c r="K7" i="11"/>
  <c r="B13" i="1"/>
  <c r="M8" i="11"/>
  <c r="J7" i="12"/>
  <c r="J9" i="11"/>
  <c r="J10" i="1"/>
  <c r="M7" i="11"/>
  <c r="J8" i="1"/>
  <c r="F10" i="11"/>
  <c r="B10" i="11"/>
  <c r="J5" i="11"/>
  <c r="J6" i="1"/>
  <c r="J13" i="1" s="1"/>
  <c r="G10" i="11"/>
  <c r="L17" i="1"/>
  <c r="M17" i="1" s="1"/>
  <c r="K8" i="11"/>
  <c r="K9" i="1"/>
  <c r="C10" i="11"/>
  <c r="J9" i="1"/>
  <c r="J8" i="11"/>
  <c r="K9" i="11"/>
  <c r="K10" i="1"/>
  <c r="L9" i="11"/>
  <c r="M9" i="11"/>
  <c r="H10" i="11"/>
  <c r="L7" i="11"/>
  <c r="L8" i="1" s="1"/>
  <c r="D10" i="11"/>
  <c r="L8" i="11"/>
  <c r="L6" i="1" l="1"/>
  <c r="J10" i="11"/>
  <c r="I10" i="11"/>
  <c r="E10" i="11"/>
  <c r="K10" i="11"/>
  <c r="L10" i="11"/>
  <c r="M10" i="11" s="1"/>
  <c r="H4" i="12" l="1"/>
  <c r="L4" i="12" s="1"/>
  <c r="K4" i="12"/>
  <c r="G4" i="12"/>
  <c r="M4" i="12"/>
  <c r="I4" i="12"/>
  <c r="C11" i="17" l="1"/>
  <c r="C10" i="17" s="1"/>
  <c r="C4" i="17"/>
  <c r="C5" i="12" l="1"/>
  <c r="H6" i="12"/>
  <c r="I6" i="12" s="1"/>
  <c r="D6" i="12"/>
  <c r="E6" i="12" s="1"/>
  <c r="G5" i="12"/>
  <c r="C14" i="18"/>
  <c r="G6" i="12" s="1"/>
  <c r="C4" i="18"/>
  <c r="C6" i="12" s="1"/>
  <c r="H5" i="12" l="1"/>
  <c r="I5" i="12" s="1"/>
  <c r="D5" i="12"/>
  <c r="E5" i="12" s="1"/>
  <c r="C11" i="1"/>
  <c r="D12" i="1"/>
  <c r="C13" i="17"/>
  <c r="K5" i="12" s="1"/>
  <c r="G11" i="1"/>
  <c r="G7" i="12"/>
  <c r="C12" i="1"/>
  <c r="G12" i="1"/>
  <c r="C22" i="18"/>
  <c r="D11" i="1"/>
  <c r="C7" i="12"/>
  <c r="H12" i="1"/>
  <c r="H11" i="1"/>
  <c r="H13" i="1" l="1"/>
  <c r="H7" i="12"/>
  <c r="I7" i="12" s="1"/>
  <c r="D7" i="12"/>
  <c r="E7" i="12" s="1"/>
  <c r="C13" i="1"/>
  <c r="L5" i="12"/>
  <c r="M5" i="12" s="1"/>
  <c r="L6" i="12"/>
  <c r="M6" i="12" s="1"/>
  <c r="K12" i="1"/>
  <c r="K6" i="12"/>
  <c r="K11" i="1"/>
  <c r="G13" i="1"/>
  <c r="D13" i="1"/>
  <c r="E13" i="1" l="1"/>
  <c r="K13" i="1"/>
  <c r="L13" i="1"/>
  <c r="L7" i="12"/>
  <c r="M7" i="12" s="1"/>
  <c r="K7" i="12"/>
  <c r="M13" i="1" l="1"/>
</calcChain>
</file>

<file path=xl/sharedStrings.xml><?xml version="1.0" encoding="utf-8"?>
<sst xmlns="http://schemas.openxmlformats.org/spreadsheetml/2006/main" count="356" uniqueCount="142">
  <si>
    <t>OKRUH VHČ</t>
  </si>
  <si>
    <t>VÝNOSY</t>
  </si>
  <si>
    <t>NÁKLADY</t>
  </si>
  <si>
    <t>HOSP. VÝSLEDEK</t>
  </si>
  <si>
    <t>CELKEM</t>
  </si>
  <si>
    <t>Oblast:</t>
  </si>
  <si>
    <t>BYTOVÝ FOND</t>
  </si>
  <si>
    <t>Spotřeba materiálu a energií</t>
  </si>
  <si>
    <t>Opravy a udržování</t>
  </si>
  <si>
    <t>Služby</t>
  </si>
  <si>
    <t>Režie</t>
  </si>
  <si>
    <t>Úpravy hodnot</t>
  </si>
  <si>
    <t>Výnosy z činnosti</t>
  </si>
  <si>
    <t>Výnosy z prodeje majetku</t>
  </si>
  <si>
    <t>Režijní výnosy</t>
  </si>
  <si>
    <t xml:space="preserve"> POUŽITÍ ZISKU Z PŘEDCH. LET</t>
  </si>
  <si>
    <t xml:space="preserve">     Energie</t>
  </si>
  <si>
    <t xml:space="preserve">     Materiál</t>
  </si>
  <si>
    <t xml:space="preserve">     Běžná údržba</t>
  </si>
  <si>
    <t xml:space="preserve">     Běžná údržba - čerpání FO v SVJ</t>
  </si>
  <si>
    <t xml:space="preserve">     Jmenovité opravy</t>
  </si>
  <si>
    <t xml:space="preserve">     Úklid, údržba, provoz</t>
  </si>
  <si>
    <t xml:space="preserve">     Inženýrské a právní služby</t>
  </si>
  <si>
    <t xml:space="preserve">     Ostatní služby</t>
  </si>
  <si>
    <t xml:space="preserve">     Odměna za správu</t>
  </si>
  <si>
    <t xml:space="preserve">     Osobní náklady</t>
  </si>
  <si>
    <t xml:space="preserve">     Ostatní náklady</t>
  </si>
  <si>
    <t xml:space="preserve">     Odpisy majetku</t>
  </si>
  <si>
    <t xml:space="preserve">     Odpisy pohledávek</t>
  </si>
  <si>
    <t xml:space="preserve">     Opravné položky</t>
  </si>
  <si>
    <t xml:space="preserve">     Ostatní výnosy</t>
  </si>
  <si>
    <t xml:space="preserve">     Výnosy z pronájmu</t>
  </si>
  <si>
    <t xml:space="preserve">     Prodej movitých věcí</t>
  </si>
  <si>
    <t xml:space="preserve">     Finanční výnosy</t>
  </si>
  <si>
    <t xml:space="preserve">     Výnosy ze smluvních pokut a úroků z prodlení</t>
  </si>
  <si>
    <t xml:space="preserve">     Výnosy ze služeb</t>
  </si>
  <si>
    <t>NBF POZEMKY</t>
  </si>
  <si>
    <t>Vysvětlivky:</t>
  </si>
  <si>
    <t xml:space="preserve"> v tis. Kč</t>
  </si>
  <si>
    <t>v tis. Kč</t>
  </si>
  <si>
    <t>NBF OSTATNÍ OBJEKTY</t>
  </si>
  <si>
    <t>ÚPLATNÝ PŘEVOD NEMOVITOSTÍ</t>
  </si>
  <si>
    <t>OSTATNÍ HOSPOD. ČINNOST</t>
  </si>
  <si>
    <t xml:space="preserve">     DPPO (předběžná)</t>
  </si>
  <si>
    <t>Počet bytů</t>
  </si>
  <si>
    <t>Počet objektů</t>
  </si>
  <si>
    <t xml:space="preserve"> H V                                                                                       - ztráta/ + zisk</t>
  </si>
  <si>
    <t>Informativně: v tabulce zahrnutá předběžná DPPO</t>
  </si>
  <si>
    <r>
      <t xml:space="preserve">BYTOVÝ FOND </t>
    </r>
    <r>
      <rPr>
        <b/>
        <sz val="10"/>
        <color theme="1"/>
        <rFont val="Calibri"/>
        <family val="2"/>
        <charset val="238"/>
        <scheme val="minor"/>
      </rPr>
      <t>(org. 5)</t>
    </r>
  </si>
  <si>
    <r>
      <t xml:space="preserve">NBF  OSTATNÍ OBJEKTY </t>
    </r>
    <r>
      <rPr>
        <b/>
        <sz val="10"/>
        <rFont val="Calibri"/>
        <family val="2"/>
        <charset val="238"/>
        <scheme val="minor"/>
      </rPr>
      <t>(org. 10</t>
    </r>
    <r>
      <rPr>
        <b/>
        <sz val="12"/>
        <rFont val="Calibri"/>
        <family val="2"/>
        <charset val="238"/>
        <scheme val="minor"/>
      </rPr>
      <t>)</t>
    </r>
  </si>
  <si>
    <r>
      <t xml:space="preserve">NBF  POZEMKY </t>
    </r>
    <r>
      <rPr>
        <b/>
        <sz val="10"/>
        <color theme="1"/>
        <rFont val="Calibri"/>
        <family val="2"/>
        <charset val="238"/>
        <scheme val="minor"/>
      </rPr>
      <t>(org. 11)</t>
    </r>
  </si>
  <si>
    <t xml:space="preserve">                   Oblast:            NBF ŠKOLSKÉ, KULTURNÍ A SPORTOVNÍ OBJEKTY</t>
  </si>
  <si>
    <t xml:space="preserve">     Havárie (vč. SVJ)</t>
  </si>
  <si>
    <r>
      <t xml:space="preserve">ÚPLATNÝ PŘEVOD NEM. </t>
    </r>
    <r>
      <rPr>
        <b/>
        <sz val="10"/>
        <rFont val="Calibri"/>
        <family val="2"/>
        <charset val="238"/>
        <scheme val="minor"/>
      </rPr>
      <t>(org. 140)</t>
    </r>
  </si>
  <si>
    <t xml:space="preserve">     Havárie </t>
  </si>
  <si>
    <t xml:space="preserve">     Havárie</t>
  </si>
  <si>
    <r>
      <t>OSTATNÍ HOSP. ČINNOST</t>
    </r>
    <r>
      <rPr>
        <b/>
        <sz val="10"/>
        <rFont val="Calibri"/>
        <family val="2"/>
        <charset val="238"/>
        <scheme val="minor"/>
      </rPr>
      <t>(org. 333)</t>
    </r>
  </si>
  <si>
    <r>
      <t xml:space="preserve">ÚPLATNÝ PŘEVOD NEMOVITOSTÍ  </t>
    </r>
    <r>
      <rPr>
        <b/>
        <sz val="10"/>
        <color theme="1"/>
        <rFont val="Calibri"/>
        <family val="2"/>
        <charset val="238"/>
        <scheme val="minor"/>
      </rPr>
      <t>(org. 140)</t>
    </r>
  </si>
  <si>
    <r>
      <t xml:space="preserve">OSTATNÍ HOSPODÁŘSKÁ ČINNOST  </t>
    </r>
    <r>
      <rPr>
        <b/>
        <sz val="10"/>
        <color theme="1"/>
        <rFont val="Calibri"/>
        <family val="2"/>
        <charset val="238"/>
        <scheme val="minor"/>
      </rPr>
      <t>(org. 333)</t>
    </r>
  </si>
  <si>
    <r>
      <t xml:space="preserve">NBF  ŠKOLSKÉ, KULTURNÍ A SPORTOVNÍ OBJEKTY </t>
    </r>
    <r>
      <rPr>
        <b/>
        <sz val="10"/>
        <rFont val="Calibri"/>
        <family val="2"/>
        <charset val="238"/>
        <scheme val="minor"/>
      </rPr>
      <t>(org. 9)</t>
    </r>
  </si>
  <si>
    <t>Informativně: použití zisku - zapojení do rozpočtu r. 2026</t>
  </si>
  <si>
    <t>BYTOVÝ FOND (org. 5)</t>
  </si>
  <si>
    <t>NBF  ŠKOLSKÉ, KULTURNÍ A SPORTOVNÍ OBJEKTY (org. 9)</t>
  </si>
  <si>
    <t>NBF  OBJEKTY (org. 10)</t>
  </si>
  <si>
    <t>NBF POZEMKY (org. 11)</t>
  </si>
  <si>
    <t>LEDVINOVA 86, Chodovská tvrz</t>
  </si>
  <si>
    <t>Oprava herní gumové plochy mezi pavilony B1 a B2</t>
  </si>
  <si>
    <t>ZŠ KE KATEŘINKÁM 1400</t>
  </si>
  <si>
    <t>ZŠ KVĚTNOVÉHO VÍTĚZSTVÍ 1554</t>
  </si>
  <si>
    <t>ZŠ MIKULOVA 1594</t>
  </si>
  <si>
    <t>ZŠ DONOVALSKÁ 1684</t>
  </si>
  <si>
    <t>ZŠ CAMPANUS, JÍROVCOVO NÁM. 1782</t>
  </si>
  <si>
    <t>MŠ MÍROVÉHO HNUTÍ 1680</t>
  </si>
  <si>
    <t>ZŠ KVĚTNOVÉHO VÍTĚZSTVÍ 57</t>
  </si>
  <si>
    <t>MŠ V BENÁTKÁCH 1751</t>
  </si>
  <si>
    <t>MŠ BABÁKOVA 2149</t>
  </si>
  <si>
    <t>MŠ DUBNOVA 806</t>
  </si>
  <si>
    <t xml:space="preserve">v tis. Kč </t>
  </si>
  <si>
    <t>Očištění, opravy a nátěr šindelové střechy – Chodovská tvrz</t>
  </si>
  <si>
    <t xml:space="preserve">Renovace dřevěných špaletových oken a dvěří </t>
  </si>
  <si>
    <t>ZŠ K MILÍČOVU 674</t>
  </si>
  <si>
    <t>Oprava dlažby v atriu C1</t>
  </si>
  <si>
    <t>Výměna podhledů v pavilonu D2</t>
  </si>
  <si>
    <t>Mytí fasády objektu školy vč. drobných oprav fasády a impregnace</t>
  </si>
  <si>
    <t>Oprava atria č.1</t>
  </si>
  <si>
    <t xml:space="preserve">Výměna osvětlení ve třídách dle požadavku školy </t>
  </si>
  <si>
    <t>Oprava venkovní kanalizace u pavilonu C2</t>
  </si>
  <si>
    <t>Výměna osvětlení ve třídách dle požadavku školy</t>
  </si>
  <si>
    <t xml:space="preserve">ZŠ - výměna osvětlení </t>
  </si>
  <si>
    <t>Oprava sociálního zázemí (5 x sprcha a 5 x toaleta)</t>
  </si>
  <si>
    <t>Oprava podlahy v přízemí - strará budova</t>
  </si>
  <si>
    <t>Výměna osvětlení v celém objektu</t>
  </si>
  <si>
    <t>Výměna osvětlení</t>
  </si>
  <si>
    <t>Oprava plotu včetně podezdívek</t>
  </si>
  <si>
    <t>Jmenovité akce 2026</t>
  </si>
  <si>
    <t>CELKEM položka jmenovité opravy</t>
  </si>
  <si>
    <t>Opravy po revizích</t>
  </si>
  <si>
    <t xml:space="preserve">Finanční rezerva pro jmenovité akce </t>
  </si>
  <si>
    <t>Jmenovité akce celkem</t>
  </si>
  <si>
    <t xml:space="preserve">                   Oblast:            NBF ŠKOLSKÉ, KULTURNÍ A SPORTOVNÍ OBJEKTY - položka jmenovité opravy</t>
  </si>
  <si>
    <t>ZŠ POŠEPNÉHO NÁM. 2022</t>
  </si>
  <si>
    <t>MŠ BLATENSKÁ 2145</t>
  </si>
  <si>
    <t>Výměna zbývajícího nevyhovujícího osvětlení</t>
  </si>
  <si>
    <t>MŠ HRABÁKOVA 2000</t>
  </si>
  <si>
    <t>ZŠ MENDELOVA 550</t>
  </si>
  <si>
    <t>Výměna rohových lišt</t>
  </si>
  <si>
    <t>Výměna interiérových dveří</t>
  </si>
  <si>
    <t xml:space="preserve">     Výnosy ze snluvních pokut a úroků z prodlení</t>
  </si>
  <si>
    <t>Výměna staré hliníkové elektroinstalace, zasekání lišt, výmalba celé školy (chodeb) a tříd</t>
  </si>
  <si>
    <t>Oprava dveří v celé budově (prioritně nejstarších), nátěr dveří</t>
  </si>
  <si>
    <t>Výměna zabezpečovacího zařízení v části staré školy a napojení na novou v novém křídle školy</t>
  </si>
  <si>
    <t>Oplocení celého areálu školy, zejména vyřešit rozpadající se část u restaurace XL restaurace</t>
  </si>
  <si>
    <t>SFP                        2026</t>
  </si>
  <si>
    <t>SFP 2026 = schválený finanční plán na rok 2026</t>
  </si>
  <si>
    <t>3.ÚFP 2026</t>
  </si>
  <si>
    <t xml:space="preserve">                   Oblast:            NBF STRATEGICKÉ OBJEKTY</t>
  </si>
  <si>
    <t>Počet obytů</t>
  </si>
  <si>
    <t>3. ÚFP 2026</t>
  </si>
  <si>
    <t>3.ÚFP                        2026</t>
  </si>
  <si>
    <r>
      <t xml:space="preserve">NBF STRATEGICKÉ OBJEKTY </t>
    </r>
    <r>
      <rPr>
        <sz val="10"/>
        <color theme="1"/>
        <rFont val="Calibri"/>
        <family val="2"/>
        <charset val="238"/>
        <scheme val="minor"/>
      </rPr>
      <t>(org.7)</t>
    </r>
  </si>
  <si>
    <t>NBF STRATEGICKÉ OBJEKTY (org.7)</t>
  </si>
  <si>
    <t>3.ÚFP      2026</t>
  </si>
  <si>
    <t>3.ÚFP 2026 = upravený finanční plán na rok 2026</t>
  </si>
  <si>
    <t>Plnění finančního plánu hospodářské činnosti MČ Praha 11 za 1. pololetí roku 2026</t>
  </si>
  <si>
    <t>SK 30.06.2026</t>
  </si>
  <si>
    <t>%                                                        SK/3.ÚFP 2026</t>
  </si>
  <si>
    <t>SK = plnění k 30.06.2026</t>
  </si>
  <si>
    <t>Pnění finančního plánu VHČ - JMM, a.s., za 1. pololetí roku 2026</t>
  </si>
  <si>
    <t>%                                                        SK/3. ÚFP 2026</t>
  </si>
  <si>
    <t>SK</t>
  </si>
  <si>
    <t>SFP 2026</t>
  </si>
  <si>
    <t>%                                                        SK/3.ÚFP2026</t>
  </si>
  <si>
    <t>%                                                  SK/3.ÚFP 2026</t>
  </si>
  <si>
    <t>%                           SK/3.ÚFP 2026</t>
  </si>
  <si>
    <t>%                              SK/3.ÚFP 2026</t>
  </si>
  <si>
    <t>Plnění finančního plánu VHČ - MČ k 30.06.2026</t>
  </si>
  <si>
    <t xml:space="preserve">Pozn.: V hospodářském výsledku není zahrnuta předběžná daň z příjmů právnických osob (21 %) ani odpisy majetku - budou zaúčtovány až v prosinci 2026 a budou součástí ročních rozborů hospodaření. </t>
  </si>
  <si>
    <t>SK/3.ÚFP</t>
  </si>
  <si>
    <t>%</t>
  </si>
  <si>
    <t xml:space="preserve">     Odpis pohledávek</t>
  </si>
  <si>
    <t>x</t>
  </si>
  <si>
    <t>Příloha č. 2 usnesení č. 0000/25/Z/2026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</si>
</sst>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+#,##0;\-#,##0"/>
    <numFmt numFmtId="165" formatCode="#,##0.00_ ;[Red]\-#,##0.00\ "/>
    <numFmt numFmtId="166" formatCode="#,##0_ ;\-#,##0\ "/>
    <numFmt numFmtId="167" formatCode="#,##0_ ;[Red]\-#,##0\ "/>
    <numFmt numFmtId="168" formatCode="#,##0.00_ ;\-#,##0.00\ 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1"/>
      <name val="Calibri"/>
      <family val="2"/>
      <charset val="238"/>
    </font>
    <font>
      <sz val="12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7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45">
    <xf numFmtId="0" fontId="0" fillId="0" borderId="0" xfId="0"/>
    <xf numFmtId="0" fontId="0" fillId="0" borderId="3" xfId="0" applyBorder="1"/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4" fontId="7" fillId="2" borderId="7" xfId="0" applyNumberFormat="1" applyFont="1" applyFill="1" applyBorder="1"/>
    <xf numFmtId="4" fontId="0" fillId="2" borderId="16" xfId="0" applyNumberFormat="1" applyFill="1" applyBorder="1"/>
    <xf numFmtId="4" fontId="7" fillId="2" borderId="7" xfId="0" applyNumberFormat="1" applyFont="1" applyFill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4" fontId="0" fillId="0" borderId="0" xfId="0" applyNumberFormat="1"/>
    <xf numFmtId="3" fontId="0" fillId="0" borderId="0" xfId="0" applyNumberFormat="1"/>
    <xf numFmtId="2" fontId="7" fillId="2" borderId="7" xfId="0" applyNumberFormat="1" applyFont="1" applyFill="1" applyBorder="1" applyAlignment="1">
      <alignment vertical="center"/>
    </xf>
    <xf numFmtId="2" fontId="0" fillId="0" borderId="0" xfId="0" applyNumberFormat="1"/>
    <xf numFmtId="2" fontId="2" fillId="0" borderId="6" xfId="0" applyNumberFormat="1" applyFont="1" applyBorder="1"/>
    <xf numFmtId="3" fontId="2" fillId="0" borderId="6" xfId="0" applyNumberFormat="1" applyFont="1" applyBorder="1"/>
    <xf numFmtId="3" fontId="2" fillId="3" borderId="6" xfId="0" applyNumberFormat="1" applyFont="1" applyFill="1" applyBorder="1"/>
    <xf numFmtId="0" fontId="0" fillId="0" borderId="18" xfId="0" applyBorder="1"/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3" fontId="1" fillId="3" borderId="15" xfId="0" applyNumberFormat="1" applyFont="1" applyFill="1" applyBorder="1"/>
    <xf numFmtId="4" fontId="1" fillId="3" borderId="16" xfId="0" applyNumberFormat="1" applyFont="1" applyFill="1" applyBorder="1"/>
    <xf numFmtId="3" fontId="0" fillId="0" borderId="15" xfId="0" applyNumberFormat="1" applyBorder="1"/>
    <xf numFmtId="3" fontId="0" fillId="0" borderId="9" xfId="0" applyNumberFormat="1" applyBorder="1"/>
    <xf numFmtId="3" fontId="0" fillId="0" borderId="19" xfId="0" applyNumberFormat="1" applyBorder="1" applyAlignment="1">
      <alignment horizontal="right" vertical="center" wrapText="1"/>
    </xf>
    <xf numFmtId="4" fontId="0" fillId="0" borderId="20" xfId="0" applyNumberFormat="1" applyBorder="1" applyAlignment="1">
      <alignment horizontal="right" vertical="center" wrapText="1"/>
    </xf>
    <xf numFmtId="4" fontId="0" fillId="2" borderId="10" xfId="0" applyNumberFormat="1" applyFill="1" applyBorder="1"/>
    <xf numFmtId="0" fontId="0" fillId="0" borderId="19" xfId="0" applyBorder="1" applyAlignment="1">
      <alignment horizontal="center" vertical="center" wrapText="1"/>
    </xf>
    <xf numFmtId="3" fontId="0" fillId="2" borderId="15" xfId="0" applyNumberFormat="1" applyFill="1" applyBorder="1"/>
    <xf numFmtId="0" fontId="0" fillId="0" borderId="23" xfId="0" applyBorder="1"/>
    <xf numFmtId="0" fontId="2" fillId="0" borderId="22" xfId="0" applyFont="1" applyBorder="1"/>
    <xf numFmtId="4" fontId="2" fillId="0" borderId="6" xfId="0" applyNumberFormat="1" applyFont="1" applyBorder="1"/>
    <xf numFmtId="3" fontId="7" fillId="0" borderId="6" xfId="0" applyNumberFormat="1" applyFont="1" applyBorder="1" applyAlignment="1">
      <alignment horizontal="right" vertical="center"/>
    </xf>
    <xf numFmtId="0" fontId="2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21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0" xfId="0" applyFont="1"/>
    <xf numFmtId="0" fontId="8" fillId="0" borderId="0" xfId="0" applyFont="1"/>
    <xf numFmtId="0" fontId="2" fillId="0" borderId="2" xfId="0" applyFont="1" applyBorder="1" applyAlignment="1">
      <alignment vertical="center" wrapText="1"/>
    </xf>
    <xf numFmtId="3" fontId="14" fillId="0" borderId="13" xfId="0" applyNumberFormat="1" applyFont="1" applyBorder="1" applyAlignment="1">
      <alignment horizontal="right" vertical="center"/>
    </xf>
    <xf numFmtId="3" fontId="14" fillId="3" borderId="13" xfId="0" applyNumberFormat="1" applyFont="1" applyFill="1" applyBorder="1" applyAlignment="1">
      <alignment horizontal="right" vertical="center"/>
    </xf>
    <xf numFmtId="4" fontId="14" fillId="0" borderId="13" xfId="0" applyNumberFormat="1" applyFont="1" applyBorder="1" applyAlignment="1">
      <alignment horizontal="right" vertical="center"/>
    </xf>
    <xf numFmtId="3" fontId="14" fillId="0" borderId="1" xfId="0" applyNumberFormat="1" applyFont="1" applyBorder="1" applyAlignment="1">
      <alignment vertical="center"/>
    </xf>
    <xf numFmtId="3" fontId="14" fillId="3" borderId="1" xfId="0" applyNumberFormat="1" applyFont="1" applyFill="1" applyBorder="1" applyAlignment="1">
      <alignment vertical="center"/>
    </xf>
    <xf numFmtId="4" fontId="14" fillId="0" borderId="1" xfId="0" applyNumberFormat="1" applyFont="1" applyBorder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3" fontId="14" fillId="3" borderId="1" xfId="0" applyNumberFormat="1" applyFont="1" applyFill="1" applyBorder="1" applyAlignment="1">
      <alignment horizontal="right" vertical="center"/>
    </xf>
    <xf numFmtId="2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right" vertical="center"/>
    </xf>
    <xf numFmtId="4" fontId="0" fillId="2" borderId="10" xfId="0" applyNumberFormat="1" applyFill="1" applyBorder="1" applyAlignment="1">
      <alignment horizontal="right"/>
    </xf>
    <xf numFmtId="3" fontId="1" fillId="3" borderId="15" xfId="0" applyNumberFormat="1" applyFont="1" applyFill="1" applyBorder="1" applyAlignment="1">
      <alignment horizontal="right" vertical="center"/>
    </xf>
    <xf numFmtId="0" fontId="0" fillId="0" borderId="13" xfId="0" applyBorder="1"/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3" fontId="7" fillId="0" borderId="19" xfId="0" applyNumberFormat="1" applyFont="1" applyBorder="1" applyAlignment="1">
      <alignment horizontal="right" vertical="center"/>
    </xf>
    <xf numFmtId="4" fontId="7" fillId="2" borderId="20" xfId="0" applyNumberFormat="1" applyFont="1" applyFill="1" applyBorder="1"/>
    <xf numFmtId="3" fontId="0" fillId="0" borderId="15" xfId="0" applyNumberFormat="1" applyBorder="1" applyAlignment="1">
      <alignment horizontal="right" vertical="center"/>
    </xf>
    <xf numFmtId="0" fontId="14" fillId="0" borderId="0" xfId="0" applyFont="1" applyAlignment="1">
      <alignment horizontal="left"/>
    </xf>
    <xf numFmtId="3" fontId="0" fillId="0" borderId="4" xfId="0" applyNumberFormat="1" applyBorder="1" applyAlignment="1">
      <alignment horizontal="right" vertical="center" wrapText="1"/>
    </xf>
    <xf numFmtId="3" fontId="7" fillId="0" borderId="27" xfId="0" applyNumberFormat="1" applyFont="1" applyBorder="1" applyAlignment="1">
      <alignment horizontal="right" vertical="center"/>
    </xf>
    <xf numFmtId="3" fontId="1" fillId="3" borderId="28" xfId="0" applyNumberFormat="1" applyFont="1" applyFill="1" applyBorder="1"/>
    <xf numFmtId="3" fontId="1" fillId="3" borderId="12" xfId="0" applyNumberFormat="1" applyFont="1" applyFill="1" applyBorder="1"/>
    <xf numFmtId="3" fontId="0" fillId="0" borderId="19" xfId="0" applyNumberFormat="1" applyBorder="1"/>
    <xf numFmtId="3" fontId="8" fillId="0" borderId="15" xfId="0" applyNumberFormat="1" applyFont="1" applyBorder="1"/>
    <xf numFmtId="0" fontId="2" fillId="0" borderId="23" xfId="0" applyFont="1" applyBorder="1"/>
    <xf numFmtId="3" fontId="14" fillId="0" borderId="30" xfId="0" applyNumberFormat="1" applyFont="1" applyBorder="1" applyAlignment="1">
      <alignment horizontal="center" vertical="center"/>
    </xf>
    <xf numFmtId="3" fontId="2" fillId="0" borderId="0" xfId="0" applyNumberFormat="1" applyFont="1"/>
    <xf numFmtId="2" fontId="2" fillId="0" borderId="0" xfId="0" applyNumberFormat="1" applyFont="1"/>
    <xf numFmtId="3" fontId="2" fillId="2" borderId="0" xfId="0" applyNumberFormat="1" applyFont="1" applyFill="1"/>
    <xf numFmtId="3" fontId="3" fillId="0" borderId="11" xfId="0" applyNumberFormat="1" applyFont="1" applyBorder="1" applyAlignment="1">
      <alignment horizontal="right" vertical="center"/>
    </xf>
    <xf numFmtId="3" fontId="3" fillId="3" borderId="12" xfId="0" applyNumberFormat="1" applyFont="1" applyFill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3" fontId="3" fillId="3" borderId="6" xfId="0" applyNumberFormat="1" applyFont="1" applyFill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3" borderId="9" xfId="0" applyNumberFormat="1" applyFont="1" applyFill="1" applyBorder="1" applyAlignment="1">
      <alignment horizontal="right" vertical="center"/>
    </xf>
    <xf numFmtId="3" fontId="3" fillId="0" borderId="6" xfId="0" applyNumberFormat="1" applyFont="1" applyBorder="1"/>
    <xf numFmtId="3" fontId="15" fillId="0" borderId="6" xfId="0" applyNumberFormat="1" applyFont="1" applyBorder="1" applyAlignment="1">
      <alignment horizontal="right"/>
    </xf>
    <xf numFmtId="0" fontId="0" fillId="0" borderId="29" xfId="0" applyBorder="1"/>
    <xf numFmtId="0" fontId="0" fillId="0" borderId="26" xfId="0" applyBorder="1"/>
    <xf numFmtId="3" fontId="0" fillId="0" borderId="29" xfId="0" applyNumberFormat="1" applyBorder="1"/>
    <xf numFmtId="3" fontId="3" fillId="0" borderId="11" xfId="0" applyNumberFormat="1" applyFont="1" applyBorder="1" applyAlignment="1">
      <alignment vertical="center"/>
    </xf>
    <xf numFmtId="165" fontId="14" fillId="0" borderId="1" xfId="0" applyNumberFormat="1" applyFont="1" applyBorder="1" applyAlignment="1">
      <alignment vertical="center"/>
    </xf>
    <xf numFmtId="165" fontId="0" fillId="0" borderId="0" xfId="0" applyNumberFormat="1"/>
    <xf numFmtId="4" fontId="7" fillId="0" borderId="7" xfId="0" applyNumberFormat="1" applyFont="1" applyBorder="1"/>
    <xf numFmtId="166" fontId="1" fillId="3" borderId="15" xfId="0" applyNumberFormat="1" applyFont="1" applyFill="1" applyBorder="1"/>
    <xf numFmtId="166" fontId="0" fillId="0" borderId="15" xfId="0" applyNumberFormat="1" applyBorder="1"/>
    <xf numFmtId="166" fontId="7" fillId="0" borderId="6" xfId="0" applyNumberFormat="1" applyFont="1" applyBorder="1" applyAlignment="1">
      <alignment horizontal="center" vertical="center"/>
    </xf>
    <xf numFmtId="166" fontId="7" fillId="0" borderId="6" xfId="0" applyNumberFormat="1" applyFont="1" applyBorder="1" applyAlignment="1">
      <alignment horizontal="right" vertical="center"/>
    </xf>
    <xf numFmtId="166" fontId="0" fillId="0" borderId="0" xfId="0" applyNumberFormat="1"/>
    <xf numFmtId="165" fontId="2" fillId="0" borderId="6" xfId="0" applyNumberFormat="1" applyFont="1" applyBorder="1" applyAlignment="1">
      <alignment horizontal="right"/>
    </xf>
    <xf numFmtId="0" fontId="0" fillId="0" borderId="30" xfId="0" applyBorder="1"/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164" fontId="5" fillId="4" borderId="37" xfId="0" applyNumberFormat="1" applyFont="1" applyFill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4" fontId="7" fillId="0" borderId="7" xfId="0" applyNumberFormat="1" applyFont="1" applyBorder="1" applyAlignment="1">
      <alignment vertical="center"/>
    </xf>
    <xf numFmtId="4" fontId="14" fillId="0" borderId="1" xfId="0" applyNumberFormat="1" applyFont="1" applyBorder="1" applyAlignment="1">
      <alignment horizontal="right" vertical="center"/>
    </xf>
    <xf numFmtId="3" fontId="2" fillId="3" borderId="23" xfId="0" applyNumberFormat="1" applyFont="1" applyFill="1" applyBorder="1"/>
    <xf numFmtId="0" fontId="0" fillId="2" borderId="13" xfId="0" applyFill="1" applyBorder="1"/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0" fillId="2" borderId="18" xfId="0" applyFill="1" applyBorder="1"/>
    <xf numFmtId="0" fontId="0" fillId="2" borderId="19" xfId="0" applyFill="1" applyBorder="1" applyAlignment="1">
      <alignment horizontal="right" vertical="center" wrapText="1"/>
    </xf>
    <xf numFmtId="4" fontId="0" fillId="2" borderId="20" xfId="0" applyNumberForma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center" vertical="center"/>
    </xf>
    <xf numFmtId="3" fontId="7" fillId="2" borderId="6" xfId="0" applyNumberFormat="1" applyFont="1" applyFill="1" applyBorder="1" applyAlignment="1">
      <alignment horizontal="right" vertical="center"/>
    </xf>
    <xf numFmtId="164" fontId="5" fillId="2" borderId="5" xfId="0" applyNumberFormat="1" applyFont="1" applyFill="1" applyBorder="1" applyAlignment="1">
      <alignment horizontal="center" vertical="center" wrapText="1"/>
    </xf>
    <xf numFmtId="166" fontId="7" fillId="2" borderId="6" xfId="0" applyNumberFormat="1" applyFont="1" applyFill="1" applyBorder="1" applyAlignment="1">
      <alignment horizontal="center" vertical="center"/>
    </xf>
    <xf numFmtId="166" fontId="7" fillId="2" borderId="6" xfId="0" applyNumberFormat="1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3" fontId="0" fillId="2" borderId="9" xfId="0" applyNumberFormat="1" applyFill="1" applyBorder="1" applyAlignment="1">
      <alignment horizontal="right"/>
    </xf>
    <xf numFmtId="3" fontId="0" fillId="2" borderId="9" xfId="0" applyNumberFormat="1" applyFill="1" applyBorder="1"/>
    <xf numFmtId="0" fontId="1" fillId="0" borderId="0" xfId="0" applyFont="1"/>
    <xf numFmtId="3" fontId="1" fillId="3" borderId="0" xfId="0" applyNumberFormat="1" applyFont="1" applyFill="1"/>
    <xf numFmtId="0" fontId="1" fillId="3" borderId="3" xfId="0" applyFont="1" applyFill="1" applyBorder="1"/>
    <xf numFmtId="166" fontId="1" fillId="5" borderId="15" xfId="0" applyNumberFormat="1" applyFont="1" applyFill="1" applyBorder="1"/>
    <xf numFmtId="4" fontId="1" fillId="3" borderId="39" xfId="0" applyNumberFormat="1" applyFont="1" applyFill="1" applyBorder="1"/>
    <xf numFmtId="4" fontId="0" fillId="0" borderId="16" xfId="0" applyNumberFormat="1" applyBorder="1"/>
    <xf numFmtId="4" fontId="8" fillId="0" borderId="16" xfId="0" applyNumberFormat="1" applyFont="1" applyBorder="1"/>
    <xf numFmtId="4" fontId="16" fillId="3" borderId="16" xfId="0" applyNumberFormat="1" applyFont="1" applyFill="1" applyBorder="1"/>
    <xf numFmtId="4" fontId="0" fillId="0" borderId="20" xfId="0" applyNumberFormat="1" applyBorder="1"/>
    <xf numFmtId="4" fontId="0" fillId="0" borderId="10" xfId="0" applyNumberFormat="1" applyBorder="1"/>
    <xf numFmtId="4" fontId="1" fillId="5" borderId="16" xfId="0" applyNumberFormat="1" applyFont="1" applyFill="1" applyBorder="1"/>
    <xf numFmtId="4" fontId="7" fillId="0" borderId="7" xfId="0" applyNumberFormat="1" applyFont="1" applyBorder="1" applyAlignment="1">
      <alignment horizontal="right" vertical="center"/>
    </xf>
    <xf numFmtId="3" fontId="7" fillId="0" borderId="6" xfId="0" applyNumberFormat="1" applyFont="1" applyBorder="1"/>
    <xf numFmtId="3" fontId="3" fillId="0" borderId="33" xfId="0" applyNumberFormat="1" applyFont="1" applyBorder="1" applyAlignment="1">
      <alignment horizontal="right" vertical="center"/>
    </xf>
    <xf numFmtId="3" fontId="3" fillId="0" borderId="29" xfId="0" applyNumberFormat="1" applyFont="1" applyBorder="1" applyAlignment="1">
      <alignment horizontal="right" vertical="center"/>
    </xf>
    <xf numFmtId="3" fontId="3" fillId="3" borderId="4" xfId="0" applyNumberFormat="1" applyFont="1" applyFill="1" applyBorder="1" applyAlignment="1">
      <alignment horizontal="right" vertical="center"/>
    </xf>
    <xf numFmtId="3" fontId="3" fillId="0" borderId="27" xfId="0" applyNumberFormat="1" applyFont="1" applyBorder="1" applyAlignment="1">
      <alignment horizontal="right" vertical="center"/>
    </xf>
    <xf numFmtId="166" fontId="3" fillId="0" borderId="5" xfId="0" applyNumberFormat="1" applyFont="1" applyBorder="1" applyAlignment="1">
      <alignment horizontal="right" vertical="center"/>
    </xf>
    <xf numFmtId="166" fontId="3" fillId="0" borderId="27" xfId="0" applyNumberFormat="1" applyFont="1" applyBorder="1" applyAlignment="1">
      <alignment horizontal="right" vertical="center"/>
    </xf>
    <xf numFmtId="166" fontId="3" fillId="3" borderId="6" xfId="0" applyNumberFormat="1" applyFont="1" applyFill="1" applyBorder="1" applyAlignment="1">
      <alignment horizontal="right" vertical="center"/>
    </xf>
    <xf numFmtId="3" fontId="15" fillId="0" borderId="11" xfId="0" applyNumberFormat="1" applyFont="1" applyBorder="1" applyAlignment="1">
      <alignment vertical="center"/>
    </xf>
    <xf numFmtId="3" fontId="3" fillId="0" borderId="34" xfId="0" applyNumberFormat="1" applyFont="1" applyBorder="1" applyAlignment="1">
      <alignment vertical="center"/>
    </xf>
    <xf numFmtId="3" fontId="3" fillId="3" borderId="12" xfId="0" applyNumberFormat="1" applyFont="1" applyFill="1" applyBorder="1" applyAlignment="1">
      <alignment vertical="center"/>
    </xf>
    <xf numFmtId="4" fontId="3" fillId="0" borderId="11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27" xfId="0" applyNumberFormat="1" applyFont="1" applyBorder="1" applyAlignment="1">
      <alignment vertical="center"/>
    </xf>
    <xf numFmtId="3" fontId="3" fillId="3" borderId="6" xfId="0" applyNumberFormat="1" applyFont="1" applyFill="1" applyBorder="1" applyAlignment="1">
      <alignment vertical="center"/>
    </xf>
    <xf numFmtId="3" fontId="15" fillId="0" borderId="8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horizontal="right" vertical="center"/>
    </xf>
    <xf numFmtId="3" fontId="3" fillId="0" borderId="35" xfId="0" applyNumberFormat="1" applyFont="1" applyBorder="1" applyAlignment="1">
      <alignment vertical="center"/>
    </xf>
    <xf numFmtId="3" fontId="3" fillId="3" borderId="9" xfId="0" applyNumberFormat="1" applyFont="1" applyFill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8" fillId="0" borderId="42" xfId="0" applyNumberFormat="1" applyFont="1" applyBorder="1"/>
    <xf numFmtId="0" fontId="8" fillId="0" borderId="40" xfId="0" applyFont="1" applyBorder="1" applyAlignment="1">
      <alignment vertical="center" wrapText="1"/>
    </xf>
    <xf numFmtId="3" fontId="8" fillId="0" borderId="43" xfId="0" applyNumberFormat="1" applyFont="1" applyBorder="1"/>
    <xf numFmtId="0" fontId="8" fillId="0" borderId="40" xfId="0" applyFont="1" applyBorder="1" applyAlignment="1">
      <alignment wrapText="1"/>
    </xf>
    <xf numFmtId="0" fontId="8" fillId="0" borderId="44" xfId="0" applyFont="1" applyBorder="1" applyAlignment="1">
      <alignment vertical="center" wrapText="1"/>
    </xf>
    <xf numFmtId="0" fontId="8" fillId="0" borderId="40" xfId="0" applyFont="1" applyBorder="1" applyAlignment="1">
      <alignment horizontal="left" vertical="center"/>
    </xf>
    <xf numFmtId="0" fontId="8" fillId="0" borderId="40" xfId="0" applyFont="1" applyBorder="1"/>
    <xf numFmtId="3" fontId="16" fillId="0" borderId="41" xfId="0" applyNumberFormat="1" applyFont="1" applyBorder="1"/>
    <xf numFmtId="3" fontId="8" fillId="0" borderId="45" xfId="0" applyNumberFormat="1" applyFont="1" applyBorder="1"/>
    <xf numFmtId="3" fontId="16" fillId="0" borderId="46" xfId="0" applyNumberFormat="1" applyFont="1" applyBorder="1"/>
    <xf numFmtId="0" fontId="14" fillId="0" borderId="0" xfId="0" applyFont="1"/>
    <xf numFmtId="0" fontId="17" fillId="0" borderId="50" xfId="0" applyFont="1" applyBorder="1" applyAlignment="1">
      <alignment vertical="center"/>
    </xf>
    <xf numFmtId="0" fontId="0" fillId="0" borderId="51" xfId="0" applyBorder="1"/>
    <xf numFmtId="0" fontId="17" fillId="0" borderId="50" xfId="0" applyFont="1" applyBorder="1" applyAlignment="1">
      <alignment horizontal="justify" vertical="center"/>
    </xf>
    <xf numFmtId="0" fontId="19" fillId="0" borderId="52" xfId="0" applyFont="1" applyBorder="1" applyAlignment="1">
      <alignment horizontal="justify" vertical="center"/>
    </xf>
    <xf numFmtId="0" fontId="8" fillId="0" borderId="53" xfId="0" applyFont="1" applyBorder="1"/>
    <xf numFmtId="0" fontId="0" fillId="0" borderId="54" xfId="0" applyBorder="1"/>
    <xf numFmtId="0" fontId="17" fillId="0" borderId="55" xfId="0" applyFont="1" applyBorder="1" applyAlignment="1">
      <alignment horizontal="justify" vertical="center"/>
    </xf>
    <xf numFmtId="0" fontId="8" fillId="0" borderId="56" xfId="0" applyFont="1" applyBorder="1"/>
    <xf numFmtId="0" fontId="17" fillId="0" borderId="52" xfId="0" applyFont="1" applyBorder="1" applyAlignment="1">
      <alignment vertical="center"/>
    </xf>
    <xf numFmtId="0" fontId="19" fillId="0" borderId="58" xfId="0" applyFont="1" applyBorder="1" applyAlignment="1">
      <alignment horizontal="justify" vertical="center"/>
    </xf>
    <xf numFmtId="0" fontId="8" fillId="0" borderId="59" xfId="0" applyFont="1" applyBorder="1"/>
    <xf numFmtId="0" fontId="0" fillId="0" borderId="60" xfId="0" applyBorder="1"/>
    <xf numFmtId="0" fontId="17" fillId="0" borderId="61" xfId="0" applyFont="1" applyBorder="1" applyAlignment="1">
      <alignment horizontal="justify" vertical="center"/>
    </xf>
    <xf numFmtId="0" fontId="8" fillId="0" borderId="62" xfId="0" applyFont="1" applyBorder="1"/>
    <xf numFmtId="0" fontId="0" fillId="0" borderId="63" xfId="0" applyBorder="1"/>
    <xf numFmtId="0" fontId="17" fillId="0" borderId="58" xfId="0" applyFont="1" applyBorder="1" applyAlignment="1">
      <alignment vertical="center"/>
    </xf>
    <xf numFmtId="0" fontId="17" fillId="0" borderId="64" xfId="0" applyFont="1" applyBorder="1" applyAlignment="1">
      <alignment vertical="center"/>
    </xf>
    <xf numFmtId="3" fontId="1" fillId="3" borderId="65" xfId="0" applyNumberFormat="1" applyFont="1" applyFill="1" applyBorder="1"/>
    <xf numFmtId="3" fontId="0" fillId="0" borderId="65" xfId="0" applyNumberFormat="1" applyBorder="1"/>
    <xf numFmtId="166" fontId="1" fillId="3" borderId="65" xfId="0" applyNumberFormat="1" applyFont="1" applyFill="1" applyBorder="1"/>
    <xf numFmtId="166" fontId="0" fillId="0" borderId="65" xfId="0" applyNumberFormat="1" applyBorder="1"/>
    <xf numFmtId="3" fontId="0" fillId="0" borderId="65" xfId="0" applyNumberFormat="1" applyBorder="1" applyAlignment="1">
      <alignment horizontal="right"/>
    </xf>
    <xf numFmtId="3" fontId="1" fillId="3" borderId="66" xfId="0" applyNumberFormat="1" applyFont="1" applyFill="1" applyBorder="1"/>
    <xf numFmtId="3" fontId="1" fillId="6" borderId="15" xfId="0" applyNumberFormat="1" applyFont="1" applyFill="1" applyBorder="1"/>
    <xf numFmtId="4" fontId="0" fillId="2" borderId="16" xfId="0" applyNumberFormat="1" applyFill="1" applyBorder="1" applyAlignment="1">
      <alignment horizontal="right"/>
    </xf>
    <xf numFmtId="3" fontId="0" fillId="0" borderId="28" xfId="0" applyNumberFormat="1" applyBorder="1"/>
    <xf numFmtId="4" fontId="0" fillId="0" borderId="67" xfId="0" applyNumberFormat="1" applyBorder="1"/>
    <xf numFmtId="4" fontId="7" fillId="0" borderId="68" xfId="0" applyNumberFormat="1" applyFont="1" applyBorder="1"/>
    <xf numFmtId="4" fontId="1" fillId="3" borderId="67" xfId="0" applyNumberFormat="1" applyFont="1" applyFill="1" applyBorder="1"/>
    <xf numFmtId="3" fontId="7" fillId="0" borderId="27" xfId="0" applyNumberFormat="1" applyFont="1" applyBorder="1"/>
    <xf numFmtId="0" fontId="2" fillId="3" borderId="69" xfId="0" applyFont="1" applyFill="1" applyBorder="1" applyAlignment="1">
      <alignment vertical="center"/>
    </xf>
    <xf numFmtId="0" fontId="0" fillId="0" borderId="69" xfId="0" applyBorder="1"/>
    <xf numFmtId="165" fontId="0" fillId="0" borderId="16" xfId="0" applyNumberFormat="1" applyBorder="1"/>
    <xf numFmtId="165" fontId="0" fillId="0" borderId="20" xfId="0" applyNumberFormat="1" applyBorder="1"/>
    <xf numFmtId="167" fontId="0" fillId="0" borderId="15" xfId="0" applyNumberFormat="1" applyBorder="1"/>
    <xf numFmtId="0" fontId="0" fillId="2" borderId="69" xfId="0" applyFill="1" applyBorder="1"/>
    <xf numFmtId="0" fontId="0" fillId="2" borderId="33" xfId="0" applyFill="1" applyBorder="1"/>
    <xf numFmtId="0" fontId="0" fillId="2" borderId="4" xfId="0" applyFill="1" applyBorder="1" applyAlignment="1">
      <alignment horizontal="right" vertical="center" wrapText="1"/>
    </xf>
    <xf numFmtId="4" fontId="0" fillId="2" borderId="70" xfId="0" applyNumberFormat="1" applyFill="1" applyBorder="1" applyAlignment="1">
      <alignment horizontal="right" vertical="center" wrapText="1"/>
    </xf>
    <xf numFmtId="0" fontId="3" fillId="2" borderId="15" xfId="0" applyFont="1" applyFill="1" applyBorder="1" applyAlignment="1">
      <alignment horizontal="right" vertical="center" wrapText="1"/>
    </xf>
    <xf numFmtId="0" fontId="0" fillId="0" borderId="65" xfId="0" applyBorder="1"/>
    <xf numFmtId="166" fontId="1" fillId="5" borderId="65" xfId="0" applyNumberFormat="1" applyFont="1" applyFill="1" applyBorder="1"/>
    <xf numFmtId="3" fontId="0" fillId="0" borderId="71" xfId="0" applyNumberFormat="1" applyBorder="1"/>
    <xf numFmtId="3" fontId="1" fillId="3" borderId="12" xfId="0" applyNumberFormat="1" applyFont="1" applyFill="1" applyBorder="1" applyAlignment="1">
      <alignment horizontal="right" vertical="center"/>
    </xf>
    <xf numFmtId="3" fontId="3" fillId="0" borderId="18" xfId="0" applyNumberFormat="1" applyFont="1" applyBorder="1" applyAlignment="1">
      <alignment horizontal="right" vertical="center"/>
    </xf>
    <xf numFmtId="3" fontId="3" fillId="3" borderId="19" xfId="0" applyNumberFormat="1" applyFont="1" applyFill="1" applyBorder="1" applyAlignment="1">
      <alignment horizontal="right" vertical="center"/>
    </xf>
    <xf numFmtId="0" fontId="16" fillId="3" borderId="48" xfId="0" applyFont="1" applyFill="1" applyBorder="1" applyAlignment="1">
      <alignment horizontal="center"/>
    </xf>
    <xf numFmtId="0" fontId="18" fillId="0" borderId="43" xfId="0" applyFont="1" applyBorder="1" applyAlignment="1">
      <alignment horizontal="justify" vertical="center" wrapText="1"/>
    </xf>
    <xf numFmtId="2" fontId="3" fillId="2" borderId="16" xfId="0" applyNumberFormat="1" applyFont="1" applyFill="1" applyBorder="1" applyAlignment="1">
      <alignment horizontal="right" vertical="center" wrapText="1"/>
    </xf>
    <xf numFmtId="168" fontId="1" fillId="3" borderId="16" xfId="0" applyNumberFormat="1" applyFont="1" applyFill="1" applyBorder="1"/>
    <xf numFmtId="168" fontId="0" fillId="0" borderId="16" xfId="0" applyNumberFormat="1" applyBorder="1"/>
    <xf numFmtId="3" fontId="16" fillId="0" borderId="56" xfId="0" applyNumberFormat="1" applyFont="1" applyBorder="1"/>
    <xf numFmtId="3" fontId="0" fillId="0" borderId="43" xfId="0" applyNumberFormat="1" applyBorder="1"/>
    <xf numFmtId="3" fontId="0" fillId="0" borderId="45" xfId="0" applyNumberFormat="1" applyBorder="1"/>
    <xf numFmtId="3" fontId="0" fillId="0" borderId="42" xfId="0" applyNumberFormat="1" applyBorder="1"/>
    <xf numFmtId="0" fontId="1" fillId="3" borderId="49" xfId="0" applyFont="1" applyFill="1" applyBorder="1"/>
    <xf numFmtId="0" fontId="0" fillId="0" borderId="0" xfId="0" applyAlignment="1">
      <alignment horizontal="center"/>
    </xf>
    <xf numFmtId="4" fontId="0" fillId="0" borderId="54" xfId="0" applyNumberFormat="1" applyBorder="1"/>
    <xf numFmtId="4" fontId="1" fillId="0" borderId="57" xfId="0" applyNumberFormat="1" applyFont="1" applyBorder="1"/>
    <xf numFmtId="4" fontId="0" fillId="0" borderId="16" xfId="0" applyNumberFormat="1" applyBorder="1" applyAlignment="1">
      <alignment horizontal="right"/>
    </xf>
    <xf numFmtId="0" fontId="16" fillId="3" borderId="47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2" fillId="0" borderId="22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"/>
  <sheetViews>
    <sheetView tabSelected="1" workbookViewId="0">
      <selection sqref="A1:M1"/>
    </sheetView>
  </sheetViews>
  <sheetFormatPr defaultRowHeight="15" x14ac:dyDescent="0.25"/>
  <cols>
    <col min="1" max="1" width="32.7109375" customWidth="1"/>
    <col min="2" max="4" width="11.85546875" customWidth="1"/>
    <col min="5" max="5" width="12.7109375" customWidth="1"/>
    <col min="6" max="6" width="13.28515625" customWidth="1"/>
    <col min="7" max="8" width="11.85546875" customWidth="1"/>
    <col min="9" max="9" width="12.7109375" customWidth="1"/>
    <col min="10" max="12" width="11.85546875" customWidth="1"/>
    <col min="13" max="13" width="12.7109375" customWidth="1"/>
  </cols>
  <sheetData>
    <row r="1" spans="1:13" x14ac:dyDescent="0.25">
      <c r="A1" s="233" t="s">
        <v>141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</row>
    <row r="2" spans="1:13" ht="21" customHeight="1" x14ac:dyDescent="0.25">
      <c r="A2" s="234" t="s">
        <v>123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</row>
    <row r="3" spans="1:13" ht="16.5" thickBot="1" x14ac:dyDescent="0.3">
      <c r="G3" s="9"/>
      <c r="M3" s="27" t="s">
        <v>38</v>
      </c>
    </row>
    <row r="4" spans="1:13" ht="17.25" thickTop="1" thickBot="1" x14ac:dyDescent="0.3">
      <c r="A4" s="236" t="s">
        <v>0</v>
      </c>
      <c r="B4" s="237" t="s">
        <v>1</v>
      </c>
      <c r="C4" s="238"/>
      <c r="D4" s="238"/>
      <c r="E4" s="239"/>
      <c r="F4" s="237" t="s">
        <v>2</v>
      </c>
      <c r="G4" s="238"/>
      <c r="H4" s="238"/>
      <c r="I4" s="239"/>
      <c r="J4" s="237" t="s">
        <v>3</v>
      </c>
      <c r="K4" s="238"/>
      <c r="L4" s="238"/>
      <c r="M4" s="239"/>
    </row>
    <row r="5" spans="1:13" ht="48.75" thickTop="1" thickBot="1" x14ac:dyDescent="0.3">
      <c r="A5" s="236"/>
      <c r="B5" s="3" t="s">
        <v>112</v>
      </c>
      <c r="C5" s="3" t="s">
        <v>121</v>
      </c>
      <c r="D5" s="4" t="s">
        <v>124</v>
      </c>
      <c r="E5" s="3" t="s">
        <v>125</v>
      </c>
      <c r="F5" s="3" t="s">
        <v>112</v>
      </c>
      <c r="G5" s="3" t="s">
        <v>121</v>
      </c>
      <c r="H5" s="4" t="s">
        <v>124</v>
      </c>
      <c r="I5" s="3" t="s">
        <v>125</v>
      </c>
      <c r="J5" s="3" t="s">
        <v>112</v>
      </c>
      <c r="K5" s="3" t="s">
        <v>121</v>
      </c>
      <c r="L5" s="4" t="s">
        <v>124</v>
      </c>
      <c r="M5" s="3" t="s">
        <v>125</v>
      </c>
    </row>
    <row r="6" spans="1:13" ht="30" customHeight="1" thickTop="1" thickBot="1" x14ac:dyDescent="0.3">
      <c r="A6" s="2" t="s">
        <v>48</v>
      </c>
      <c r="B6" s="140">
        <f>'org. 5'!B5</f>
        <v>113922</v>
      </c>
      <c r="C6" s="141">
        <f>'org. 5'!C5</f>
        <v>120921</v>
      </c>
      <c r="D6" s="142">
        <f>'Souhrnná tabulka JMM, a.s.'!D5</f>
        <v>70038</v>
      </c>
      <c r="E6" s="62">
        <f>'org. 5'!E5</f>
        <v>57.92046046592403</v>
      </c>
      <c r="F6" s="140">
        <f>'org. 5'!B13</f>
        <v>64215</v>
      </c>
      <c r="G6" s="141">
        <f>'org. 5'!C13</f>
        <v>60016</v>
      </c>
      <c r="H6" s="142">
        <f>'org. 5'!D13</f>
        <v>4433</v>
      </c>
      <c r="I6" s="62">
        <f>'org. 5'!E13</f>
        <v>7.3863636363636367</v>
      </c>
      <c r="J6" s="140">
        <f>'org. 5'!B34</f>
        <v>49707</v>
      </c>
      <c r="K6" s="141">
        <f>'org. 5'!C34</f>
        <v>60905</v>
      </c>
      <c r="L6" s="142">
        <f>'Souhrnná tabulka JMM, a.s.'!L5</f>
        <v>65605</v>
      </c>
      <c r="M6" s="62">
        <f>'org. 5'!E34</f>
        <v>107.71693621213365</v>
      </c>
    </row>
    <row r="7" spans="1:13" ht="30" customHeight="1" thickBot="1" x14ac:dyDescent="0.3">
      <c r="A7" s="2" t="s">
        <v>119</v>
      </c>
      <c r="B7" s="215">
        <v>0</v>
      </c>
      <c r="C7" s="141">
        <f>'org. 7'!C5</f>
        <v>98</v>
      </c>
      <c r="D7" s="216">
        <f>'Souhrnná tabulka JMM, a.s.'!D6</f>
        <v>10886</v>
      </c>
      <c r="E7" s="62">
        <f>'org. 7'!E6</f>
        <v>42.696893630373388</v>
      </c>
      <c r="F7" s="215">
        <v>0</v>
      </c>
      <c r="G7" s="141">
        <f>'org. 7'!C13</f>
        <v>32754</v>
      </c>
      <c r="H7" s="216">
        <f>'org. 7'!D13</f>
        <v>10985</v>
      </c>
      <c r="I7" s="62">
        <f>'org. 7'!E13</f>
        <v>33.537888502167675</v>
      </c>
      <c r="J7" s="215">
        <v>0</v>
      </c>
      <c r="K7" s="141">
        <f>'org. 7'!C31</f>
        <v>-7258</v>
      </c>
      <c r="L7" s="216">
        <f>'Souhrnná tabulka JMM, a.s.'!L6</f>
        <v>-99</v>
      </c>
      <c r="M7" s="62">
        <f>'org. 7'!E31</f>
        <v>1.3640121245522183</v>
      </c>
    </row>
    <row r="8" spans="1:13" ht="30" customHeight="1" thickBot="1" x14ac:dyDescent="0.3">
      <c r="A8" s="45" t="s">
        <v>59</v>
      </c>
      <c r="B8" s="86">
        <f>'org. 9'!B5</f>
        <v>55853</v>
      </c>
      <c r="C8" s="143">
        <f>'org. 9'!C5</f>
        <v>55368</v>
      </c>
      <c r="D8" s="87">
        <f>'Souhrnná tabulka JMM, a.s.'!D7</f>
        <v>26551</v>
      </c>
      <c r="E8" s="62">
        <f>'org. 9'!E5</f>
        <v>47.953691663054471</v>
      </c>
      <c r="F8" s="86">
        <f>'org. 9'!B14</f>
        <v>107807</v>
      </c>
      <c r="G8" s="143">
        <f>'org. 9'!C14</f>
        <v>108555</v>
      </c>
      <c r="H8" s="87">
        <f>'org. 9'!D14</f>
        <v>17837</v>
      </c>
      <c r="I8" s="62">
        <f>'org. 9'!E14</f>
        <v>16.43130210492377</v>
      </c>
      <c r="J8" s="144">
        <f>'org. 9'!B34</f>
        <v>-51954</v>
      </c>
      <c r="K8" s="145">
        <f>'org. 9'!C34</f>
        <v>-53187</v>
      </c>
      <c r="L8" s="146">
        <f>'Souhrnná tabulka JMM, a.s.'!L7</f>
        <v>8714</v>
      </c>
      <c r="M8" s="62">
        <f>'org. 9'!E34</f>
        <v>116.38370278451501</v>
      </c>
    </row>
    <row r="9" spans="1:13" ht="30" customHeight="1" thickBot="1" x14ac:dyDescent="0.3">
      <c r="A9" s="48" t="s">
        <v>49</v>
      </c>
      <c r="B9" s="86">
        <f>'org. 10'!B5</f>
        <v>59955</v>
      </c>
      <c r="C9" s="143">
        <f>'org. 10'!C5</f>
        <v>40228</v>
      </c>
      <c r="D9" s="87">
        <f>'Souhrnná tabulka JMM, a.s.'!D8</f>
        <v>24181</v>
      </c>
      <c r="E9" s="62">
        <f>'org. 10'!E5</f>
        <v>60.109873719797157</v>
      </c>
      <c r="F9" s="86">
        <f>'org. 10'!B13</f>
        <v>80854</v>
      </c>
      <c r="G9" s="143">
        <f>'org. 10'!C13</f>
        <v>63705</v>
      </c>
      <c r="H9" s="87">
        <f>'org. 10'!D13</f>
        <v>9830</v>
      </c>
      <c r="I9" s="62">
        <f>'org. 10'!E13</f>
        <v>15.430499960756613</v>
      </c>
      <c r="J9" s="144">
        <f>'org. 10'!B32</f>
        <v>-20899</v>
      </c>
      <c r="K9" s="145">
        <f>'org. 10'!C32</f>
        <v>-23477</v>
      </c>
      <c r="L9" s="146">
        <f>'Souhrnná tabulka JMM, a.s.'!L8</f>
        <v>14351</v>
      </c>
      <c r="M9" s="62">
        <f>'org. 10'!E32</f>
        <v>161.12791242492654</v>
      </c>
    </row>
    <row r="10" spans="1:13" ht="30" customHeight="1" thickBot="1" x14ac:dyDescent="0.3">
      <c r="A10" s="2" t="s">
        <v>50</v>
      </c>
      <c r="B10" s="86">
        <f>'org. 11'!B4</f>
        <v>17711</v>
      </c>
      <c r="C10" s="143">
        <f>'org. 11'!C4</f>
        <v>17757</v>
      </c>
      <c r="D10" s="87">
        <f>'org. 11'!D4</f>
        <v>10563</v>
      </c>
      <c r="E10" s="62">
        <f>'org. 11'!E4</f>
        <v>59.486399729684067</v>
      </c>
      <c r="F10" s="86">
        <f>'org. 11'!B12</f>
        <v>8925</v>
      </c>
      <c r="G10" s="143">
        <f>'org. 11'!C12</f>
        <v>8937</v>
      </c>
      <c r="H10" s="87">
        <f>'org. 11'!D12</f>
        <v>3228</v>
      </c>
      <c r="I10" s="62">
        <f>'org. 11'!E12</f>
        <v>36.11950318898959</v>
      </c>
      <c r="J10" s="86">
        <f>'org. 11'!B27</f>
        <v>8786</v>
      </c>
      <c r="K10" s="143">
        <f>'org. 11'!C27</f>
        <v>8820</v>
      </c>
      <c r="L10" s="87">
        <f>'Souhrnná tabulka JMM, a.s.'!L9</f>
        <v>7335</v>
      </c>
      <c r="M10" s="62">
        <f>'org. 11'!E27</f>
        <v>83.16326530612244</v>
      </c>
    </row>
    <row r="11" spans="1:13" ht="30" customHeight="1" thickBot="1" x14ac:dyDescent="0.3">
      <c r="A11" s="47" t="s">
        <v>53</v>
      </c>
      <c r="B11" s="147">
        <f>'org. 140'!B4</f>
        <v>13487</v>
      </c>
      <c r="C11" s="148">
        <f>'org. 140'!C4</f>
        <v>13487</v>
      </c>
      <c r="D11" s="149">
        <f>'org. 140'!D4</f>
        <v>7859</v>
      </c>
      <c r="E11" s="62">
        <f>'org. 140'!E4</f>
        <v>58.270927559872462</v>
      </c>
      <c r="F11" s="150">
        <f>'org. 140'!B10</f>
        <v>5</v>
      </c>
      <c r="G11" s="148">
        <f>'org. 140'!C10</f>
        <v>5</v>
      </c>
      <c r="H11" s="149">
        <f>'org. 140'!D10</f>
        <v>4</v>
      </c>
      <c r="I11" s="151">
        <f>'org. 140'!E10</f>
        <v>80</v>
      </c>
      <c r="J11" s="152">
        <f>'org. 140'!B13</f>
        <v>13482</v>
      </c>
      <c r="K11" s="153">
        <f>'org. 140'!C13</f>
        <v>13482</v>
      </c>
      <c r="L11" s="154">
        <f>'org. 140'!D13</f>
        <v>7855</v>
      </c>
      <c r="M11" s="151">
        <f>'org. 140'!E13</f>
        <v>58.262869010532562</v>
      </c>
    </row>
    <row r="12" spans="1:13" ht="30" customHeight="1" thickBot="1" x14ac:dyDescent="0.3">
      <c r="A12" s="46" t="s">
        <v>56</v>
      </c>
      <c r="B12" s="155">
        <f>'org. 333'!B4</f>
        <v>2253</v>
      </c>
      <c r="C12" s="148">
        <f>'org. 333'!C4</f>
        <v>2253</v>
      </c>
      <c r="D12" s="158">
        <f>'org. 333'!D4</f>
        <v>930</v>
      </c>
      <c r="E12" s="62">
        <f>'org. 333'!E4</f>
        <v>41.278295605858858</v>
      </c>
      <c r="F12" s="156">
        <f>'org. 333'!B14</f>
        <v>573</v>
      </c>
      <c r="G12" s="157">
        <f>'org. 333'!C14</f>
        <v>573</v>
      </c>
      <c r="H12" s="158">
        <f>'org. 333'!D14</f>
        <v>243</v>
      </c>
      <c r="I12" s="151">
        <f>'org. 333'!E22</f>
        <v>40.892857142857139</v>
      </c>
      <c r="J12" s="159">
        <f>'org. 333'!B22</f>
        <v>1680</v>
      </c>
      <c r="K12" s="153">
        <f>'org. 333'!C22</f>
        <v>1680</v>
      </c>
      <c r="L12" s="154">
        <f>'org. 333'!D22</f>
        <v>687</v>
      </c>
      <c r="M12" s="151">
        <f>'org. 333'!E22</f>
        <v>40.892857142857139</v>
      </c>
    </row>
    <row r="13" spans="1:13" ht="30" customHeight="1" thickTop="1" thickBot="1" x14ac:dyDescent="0.3">
      <c r="A13" s="61" t="s">
        <v>4</v>
      </c>
      <c r="B13" s="80">
        <f>B6+B7+B8+B9+B10+B11+B12</f>
        <v>263181</v>
      </c>
      <c r="C13" s="52">
        <f>SUM(C6:C12)</f>
        <v>250112</v>
      </c>
      <c r="D13" s="53">
        <f>SUM(D6:D12)</f>
        <v>151008</v>
      </c>
      <c r="E13" s="54">
        <f>+D13/C13*100</f>
        <v>60.376151484135107</v>
      </c>
      <c r="F13" s="52">
        <f>F6+F7+F8+F9+F10+F11+F12</f>
        <v>262379</v>
      </c>
      <c r="G13" s="52">
        <f t="shared" ref="G13" si="0">SUM(G6:G12)</f>
        <v>274545</v>
      </c>
      <c r="H13" s="53">
        <f>SUM(H6:H12)</f>
        <v>46560</v>
      </c>
      <c r="I13" s="54">
        <f>(H12/G12)*100</f>
        <v>42.408376963350783</v>
      </c>
      <c r="J13" s="52">
        <f>J6+J7+J8+J9+J10+J11+J12</f>
        <v>802</v>
      </c>
      <c r="K13" s="52">
        <f>SUM(K6:K12)</f>
        <v>965</v>
      </c>
      <c r="L13" s="53">
        <f>SUM(L6:L12)</f>
        <v>104448</v>
      </c>
      <c r="M13" s="111">
        <f>(L13/K13)*100</f>
        <v>10823.626943005182</v>
      </c>
    </row>
    <row r="14" spans="1:13" ht="16.5" customHeight="1" thickTop="1" x14ac:dyDescent="0.25">
      <c r="A14" s="30" t="s">
        <v>136</v>
      </c>
      <c r="B14" s="30"/>
      <c r="C14" s="28"/>
      <c r="D14" s="28"/>
      <c r="E14" s="29"/>
      <c r="F14" s="29"/>
      <c r="G14" s="28"/>
      <c r="H14" s="28"/>
      <c r="I14" s="29"/>
      <c r="J14" s="29"/>
      <c r="K14" s="28"/>
      <c r="L14" s="28"/>
      <c r="M14" s="29"/>
    </row>
    <row r="16" spans="1:13" ht="15.75" thickBot="1" x14ac:dyDescent="0.3"/>
    <row r="17" spans="1:13" ht="16.5" thickBot="1" x14ac:dyDescent="0.3">
      <c r="A17" s="235" t="s">
        <v>60</v>
      </c>
      <c r="B17" s="235"/>
      <c r="C17" s="235"/>
      <c r="D17" s="235"/>
      <c r="E17" s="235"/>
      <c r="F17" s="235"/>
      <c r="G17" s="235"/>
      <c r="H17" s="235"/>
      <c r="I17" s="235"/>
      <c r="J17" s="91">
        <f>+'Souhrnná tabulka JMM, a.s.'!J14+'Souhrnná tabulka MČ'!J10</f>
        <v>50000</v>
      </c>
      <c r="K17" s="90">
        <f>+'Souhrnná tabulka JMM, a.s.'!K14+'Souhrnná tabulka MČ'!K10</f>
        <v>50000</v>
      </c>
      <c r="L17" s="22">
        <f>'Souhrnná tabulka MČ'!L10+'Souhrnná tabulka JMM, a.s.'!L14</f>
        <v>25000</v>
      </c>
      <c r="M17" s="20">
        <f>L17/J17*100</f>
        <v>50</v>
      </c>
    </row>
    <row r="18" spans="1:13" ht="16.5" thickBot="1" x14ac:dyDescent="0.3">
      <c r="A18" s="41" t="s">
        <v>47</v>
      </c>
      <c r="B18" s="79"/>
      <c r="C18" s="40"/>
      <c r="D18" s="40"/>
      <c r="E18" s="40"/>
      <c r="F18" s="40"/>
      <c r="G18" s="40"/>
      <c r="H18" s="40"/>
      <c r="I18" s="40"/>
      <c r="J18" s="90">
        <f>-1*(+'org. 5'!B9+'org. 9'!B10+'org. 10'!B9+'org. 11'!B8+'org. 140'!B8+'org. 333'!B11)</f>
        <v>23520</v>
      </c>
      <c r="K18" s="90">
        <f>-1*('org. 5'!C9+'org. 9'!C10+'org. 10'!C9+'org. 11'!C8+'org. 140'!C8+'org. 333'!C11)</f>
        <v>22330</v>
      </c>
      <c r="L18" s="112">
        <f>SUM('org. 5'!D9+'org. 9'!D10+'org. 10'!D9+'org. 11'!D8+'org. 140'!D8+'org. 333'!D11)*(-1)</f>
        <v>0</v>
      </c>
      <c r="M18" s="20">
        <f>(L18/J18)*100</f>
        <v>0</v>
      </c>
    </row>
    <row r="19" spans="1:13" ht="15.75" x14ac:dyDescent="0.25">
      <c r="A19" s="9"/>
      <c r="B19" s="9"/>
      <c r="K19" s="81"/>
      <c r="L19" s="83"/>
      <c r="M19" s="82"/>
    </row>
    <row r="20" spans="1:13" ht="15.75" x14ac:dyDescent="0.25">
      <c r="A20" s="9" t="s">
        <v>37</v>
      </c>
      <c r="C20" s="49" t="s">
        <v>113</v>
      </c>
      <c r="D20" s="9"/>
    </row>
    <row r="21" spans="1:13" ht="15.75" x14ac:dyDescent="0.25">
      <c r="A21" s="9"/>
      <c r="B21" s="9"/>
      <c r="C21" s="49" t="s">
        <v>122</v>
      </c>
      <c r="D21" s="9"/>
      <c r="G21" s="50"/>
    </row>
    <row r="22" spans="1:13" ht="15.75" x14ac:dyDescent="0.25">
      <c r="A22" s="9"/>
      <c r="B22" s="9"/>
      <c r="C22" s="49" t="s">
        <v>126</v>
      </c>
      <c r="D22" s="9"/>
      <c r="E22" s="50"/>
      <c r="F22" s="50"/>
    </row>
  </sheetData>
  <mergeCells count="7">
    <mergeCell ref="A1:M1"/>
    <mergeCell ref="A2:M2"/>
    <mergeCell ref="A17:I17"/>
    <mergeCell ref="A4:A5"/>
    <mergeCell ref="B4:E4"/>
    <mergeCell ref="F4:I4"/>
    <mergeCell ref="J4:M4"/>
  </mergeCells>
  <pageMargins left="0.23622047244094491" right="0.23622047244094491" top="0.35433070866141736" bottom="0.35433070866141736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4"/>
  <sheetViews>
    <sheetView workbookViewId="0">
      <selection activeCell="M11" sqref="M11"/>
    </sheetView>
  </sheetViews>
  <sheetFormatPr defaultRowHeight="15" x14ac:dyDescent="0.25"/>
  <cols>
    <col min="1" max="1" width="34.140625" customWidth="1"/>
    <col min="2" max="4" width="12.5703125" customWidth="1"/>
    <col min="5" max="5" width="12.7109375" customWidth="1"/>
    <col min="6" max="13" width="12.5703125" customWidth="1"/>
  </cols>
  <sheetData>
    <row r="1" spans="1:14" ht="23.25" x14ac:dyDescent="0.25">
      <c r="A1" s="241" t="s">
        <v>127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</row>
    <row r="2" spans="1:14" ht="15.75" thickBot="1" x14ac:dyDescent="0.3">
      <c r="M2" s="25" t="s">
        <v>39</v>
      </c>
    </row>
    <row r="3" spans="1:14" ht="17.25" thickTop="1" thickBot="1" x14ac:dyDescent="0.3">
      <c r="A3" s="236" t="s">
        <v>0</v>
      </c>
      <c r="B3" s="242" t="s">
        <v>1</v>
      </c>
      <c r="C3" s="242"/>
      <c r="D3" s="242"/>
      <c r="E3" s="242"/>
      <c r="F3" s="242" t="s">
        <v>2</v>
      </c>
      <c r="G3" s="242"/>
      <c r="H3" s="242"/>
      <c r="I3" s="242"/>
      <c r="J3" s="242" t="s">
        <v>3</v>
      </c>
      <c r="K3" s="242"/>
      <c r="L3" s="242"/>
      <c r="M3" s="242"/>
    </row>
    <row r="4" spans="1:14" ht="48.75" thickTop="1" thickBot="1" x14ac:dyDescent="0.3">
      <c r="A4" s="236"/>
      <c r="B4" s="3" t="s">
        <v>112</v>
      </c>
      <c r="C4" s="3" t="s">
        <v>114</v>
      </c>
      <c r="D4" s="4" t="s">
        <v>124</v>
      </c>
      <c r="E4" s="3" t="s">
        <v>125</v>
      </c>
      <c r="F4" s="3" t="s">
        <v>112</v>
      </c>
      <c r="G4" s="3" t="s">
        <v>114</v>
      </c>
      <c r="H4" s="4" t="s">
        <v>124</v>
      </c>
      <c r="I4" s="3" t="s">
        <v>125</v>
      </c>
      <c r="J4" s="3" t="s">
        <v>112</v>
      </c>
      <c r="K4" s="3" t="s">
        <v>114</v>
      </c>
      <c r="L4" s="4" t="s">
        <v>124</v>
      </c>
      <c r="M4" s="3" t="s">
        <v>128</v>
      </c>
    </row>
    <row r="5" spans="1:14" ht="30" customHeight="1" thickTop="1" thickBot="1" x14ac:dyDescent="0.3">
      <c r="A5" s="2" t="s">
        <v>61</v>
      </c>
      <c r="B5" s="140">
        <f>'org. 5'!B5</f>
        <v>113922</v>
      </c>
      <c r="C5" s="141">
        <f>'org. 5'!C5</f>
        <v>120921</v>
      </c>
      <c r="D5" s="142">
        <f>'org. 5'!D5</f>
        <v>70038</v>
      </c>
      <c r="E5" s="62">
        <f>'org. 5'!E5</f>
        <v>57.92046046592403</v>
      </c>
      <c r="F5" s="140">
        <f>'org. 5'!B13</f>
        <v>64215</v>
      </c>
      <c r="G5" s="141">
        <f>'org. 5'!C13</f>
        <v>60016</v>
      </c>
      <c r="H5" s="142">
        <f>'org. 5'!D13</f>
        <v>4433</v>
      </c>
      <c r="I5" s="62">
        <f>'org. 5'!E13</f>
        <v>7.3863636363636367</v>
      </c>
      <c r="J5" s="140">
        <f>'org. 5'!B34</f>
        <v>49707</v>
      </c>
      <c r="K5" s="141">
        <f>'org. 5'!C34</f>
        <v>60905</v>
      </c>
      <c r="L5" s="142">
        <f>'org. 5'!D34</f>
        <v>65605</v>
      </c>
      <c r="M5" s="62">
        <f>'org. 5'!E34</f>
        <v>107.71693621213365</v>
      </c>
    </row>
    <row r="6" spans="1:14" ht="30" customHeight="1" thickBot="1" x14ac:dyDescent="0.3">
      <c r="A6" s="2" t="s">
        <v>120</v>
      </c>
      <c r="B6" s="215"/>
      <c r="C6" s="141">
        <f>'org. 7'!C5</f>
        <v>98</v>
      </c>
      <c r="D6" s="216">
        <f>'org. 7'!D6</f>
        <v>10886</v>
      </c>
      <c r="E6" s="62">
        <f>'org. 7'!E6</f>
        <v>42.696893630373388</v>
      </c>
      <c r="F6" s="215"/>
      <c r="G6" s="141">
        <f>'org. 7'!C13</f>
        <v>32754</v>
      </c>
      <c r="H6" s="216">
        <f>'org. 7'!D13</f>
        <v>10985</v>
      </c>
      <c r="I6" s="62">
        <f>'org. 7'!E13</f>
        <v>33.537888502167675</v>
      </c>
      <c r="J6" s="215"/>
      <c r="K6" s="141">
        <f>'org. 7'!C31</f>
        <v>-7258</v>
      </c>
      <c r="L6" s="216">
        <f>'org. 7'!D31</f>
        <v>-99</v>
      </c>
      <c r="M6" s="62">
        <f>'org. 7'!E31</f>
        <v>1.3640121245522183</v>
      </c>
    </row>
    <row r="7" spans="1:14" ht="39" customHeight="1" thickBot="1" x14ac:dyDescent="0.3">
      <c r="A7" s="44" t="s">
        <v>62</v>
      </c>
      <c r="B7" s="86">
        <f>'org. 9'!B5</f>
        <v>55853</v>
      </c>
      <c r="C7" s="143">
        <f>'org. 9'!C5</f>
        <v>55368</v>
      </c>
      <c r="D7" s="87">
        <f>'org. 9'!D5</f>
        <v>26551</v>
      </c>
      <c r="E7" s="62">
        <f>'org. 9'!E5</f>
        <v>47.953691663054471</v>
      </c>
      <c r="F7" s="86">
        <f>'org. 9'!B14</f>
        <v>107807</v>
      </c>
      <c r="G7" s="143">
        <f>'org. 9'!C14</f>
        <v>108555</v>
      </c>
      <c r="H7" s="87">
        <f>'org. 9'!D14</f>
        <v>17837</v>
      </c>
      <c r="I7" s="62">
        <f>'org. 9'!E14</f>
        <v>16.43130210492377</v>
      </c>
      <c r="J7" s="86">
        <f>'org. 9'!B34</f>
        <v>-51954</v>
      </c>
      <c r="K7" s="143">
        <f>'org. 9'!C34</f>
        <v>-53187</v>
      </c>
      <c r="L7" s="87">
        <f>'org. 9'!D34</f>
        <v>8714</v>
      </c>
      <c r="M7" s="62">
        <f>'org. 9'!E34</f>
        <v>116.38370278451501</v>
      </c>
    </row>
    <row r="8" spans="1:14" ht="30" customHeight="1" thickBot="1" x14ac:dyDescent="0.3">
      <c r="A8" s="2" t="s">
        <v>63</v>
      </c>
      <c r="B8" s="86">
        <f>'org. 10'!B5</f>
        <v>59955</v>
      </c>
      <c r="C8" s="143">
        <f>'org. 10'!C5</f>
        <v>40228</v>
      </c>
      <c r="D8" s="87">
        <f>'org. 10'!D5</f>
        <v>24181</v>
      </c>
      <c r="E8" s="62">
        <f>'org. 10'!E5</f>
        <v>60.109873719797157</v>
      </c>
      <c r="F8" s="86">
        <f>'org. 10'!B13</f>
        <v>80854</v>
      </c>
      <c r="G8" s="143">
        <f>'org. 10'!C13</f>
        <v>63705</v>
      </c>
      <c r="H8" s="87">
        <f>'org. 10'!D13</f>
        <v>9830</v>
      </c>
      <c r="I8" s="62">
        <f>'org. 10'!E13</f>
        <v>15.430499960756613</v>
      </c>
      <c r="J8" s="86">
        <f>'org. 10'!B32</f>
        <v>-20899</v>
      </c>
      <c r="K8" s="143">
        <f>'org. 10'!C32</f>
        <v>-23477</v>
      </c>
      <c r="L8" s="87">
        <f>'org. 10'!D32</f>
        <v>14351</v>
      </c>
      <c r="M8" s="62">
        <f>'org. 10'!E32</f>
        <v>161.12791242492654</v>
      </c>
    </row>
    <row r="9" spans="1:14" ht="30" customHeight="1" thickBot="1" x14ac:dyDescent="0.3">
      <c r="A9" s="2" t="s">
        <v>64</v>
      </c>
      <c r="B9" s="86">
        <f>'org. 11'!B4</f>
        <v>17711</v>
      </c>
      <c r="C9" s="143">
        <f>'org. 11'!C4</f>
        <v>17757</v>
      </c>
      <c r="D9" s="87">
        <f>'org. 11'!D4</f>
        <v>10563</v>
      </c>
      <c r="E9" s="62">
        <f>'org. 11'!E4</f>
        <v>59.486399729684067</v>
      </c>
      <c r="F9" s="86">
        <f>'org. 11'!B12</f>
        <v>8925</v>
      </c>
      <c r="G9" s="143">
        <f>'org. 11'!C12</f>
        <v>8937</v>
      </c>
      <c r="H9" s="87">
        <f>'org. 11'!D12</f>
        <v>3228</v>
      </c>
      <c r="I9" s="62">
        <f>'org. 11'!E12</f>
        <v>36.11950318898959</v>
      </c>
      <c r="J9" s="86">
        <f>'org. 11'!B27</f>
        <v>8786</v>
      </c>
      <c r="K9" s="143">
        <f>'org. 11'!C27</f>
        <v>8820</v>
      </c>
      <c r="L9" s="87">
        <f>'org. 11'!D27</f>
        <v>7335</v>
      </c>
      <c r="M9" s="62">
        <f>'org. 11'!E27</f>
        <v>83.16326530612244</v>
      </c>
    </row>
    <row r="10" spans="1:14" ht="30" customHeight="1" thickTop="1" thickBot="1" x14ac:dyDescent="0.3">
      <c r="A10" s="61" t="s">
        <v>4</v>
      </c>
      <c r="B10" s="55">
        <f>SUM(B5:B9)</f>
        <v>247441</v>
      </c>
      <c r="C10" s="55">
        <f>SUM(C5:C9)</f>
        <v>234372</v>
      </c>
      <c r="D10" s="56">
        <f>SUM(D5:D9)</f>
        <v>142219</v>
      </c>
      <c r="E10" s="57">
        <f>(D10/B10)*100</f>
        <v>57.475923553493558</v>
      </c>
      <c r="F10" s="55">
        <f>SUM(F5:F9)</f>
        <v>261801</v>
      </c>
      <c r="G10" s="55">
        <f>SUM(G5:G9)</f>
        <v>273967</v>
      </c>
      <c r="H10" s="56">
        <f>SUM(H5:H9)</f>
        <v>46313</v>
      </c>
      <c r="I10" s="57">
        <f>(H10/F10)*100</f>
        <v>17.690153971909961</v>
      </c>
      <c r="J10" s="55">
        <f>SUM(J5:J9)</f>
        <v>-14360</v>
      </c>
      <c r="K10" s="55">
        <f>SUM(K5:K9)</f>
        <v>-14197</v>
      </c>
      <c r="L10" s="56">
        <f>SUM(L5:L9)</f>
        <v>95906</v>
      </c>
      <c r="M10" s="96">
        <f>(L10/K10)*-100</f>
        <v>675.53708529971118</v>
      </c>
      <c r="N10" s="97"/>
    </row>
    <row r="11" spans="1:14" ht="15.75" thickTop="1" x14ac:dyDescent="0.25"/>
    <row r="13" spans="1:14" ht="15.75" thickBot="1" x14ac:dyDescent="0.3"/>
    <row r="14" spans="1:14" ht="16.5" thickBot="1" x14ac:dyDescent="0.3">
      <c r="A14" s="240" t="s">
        <v>60</v>
      </c>
      <c r="B14" s="240"/>
      <c r="C14" s="240"/>
      <c r="D14" s="240"/>
      <c r="E14" s="240"/>
      <c r="F14" s="240"/>
      <c r="G14" s="240"/>
      <c r="H14" s="240"/>
      <c r="I14" s="240"/>
      <c r="J14" s="90">
        <f>'org. 5'!B35+'org. 9'!B35+'org. 10'!B33+'org. 11'!B28</f>
        <v>45000</v>
      </c>
      <c r="K14" s="90">
        <f>+'org. 5'!C35+'org. 9'!C35+'org. 10'!C33+'org. 11'!C28</f>
        <v>45000</v>
      </c>
      <c r="L14" s="22">
        <f>'org. 5'!D35+'org. 9'!D35+'org. 10'!D33+'org. 11'!D28</f>
        <v>22500</v>
      </c>
      <c r="M14" s="42">
        <f>(L14/J14)*100</f>
        <v>50</v>
      </c>
    </row>
  </sheetData>
  <mergeCells count="6">
    <mergeCell ref="A14:I14"/>
    <mergeCell ref="A3:A4"/>
    <mergeCell ref="A1:M1"/>
    <mergeCell ref="B3:E3"/>
    <mergeCell ref="F3:I3"/>
    <mergeCell ref="J3:M3"/>
  </mergeCells>
  <pageMargins left="0.25" right="0.25" top="0.75" bottom="0.75" header="0.3" footer="0.3"/>
  <pageSetup paperSize="9" scale="77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6"/>
  <sheetViews>
    <sheetView topLeftCell="A9" zoomScaleNormal="100" workbookViewId="0">
      <selection activeCell="G19" sqref="G19"/>
    </sheetView>
  </sheetViews>
  <sheetFormatPr defaultRowHeight="15" x14ac:dyDescent="0.25"/>
  <cols>
    <col min="1" max="1" width="48.85546875" customWidth="1"/>
    <col min="2" max="3" width="11.7109375" customWidth="1"/>
    <col min="4" max="4" width="11.140625" customWidth="1"/>
    <col min="5" max="5" width="11.85546875" customWidth="1"/>
  </cols>
  <sheetData>
    <row r="1" spans="1:7" ht="17.25" x14ac:dyDescent="0.3">
      <c r="A1" s="10" t="s">
        <v>5</v>
      </c>
      <c r="B1" s="243" t="s">
        <v>6</v>
      </c>
      <c r="C1" s="243"/>
      <c r="D1" s="243"/>
      <c r="E1" s="243"/>
    </row>
    <row r="2" spans="1:7" ht="15.75" thickBot="1" x14ac:dyDescent="0.3">
      <c r="E2" s="25" t="s">
        <v>39</v>
      </c>
    </row>
    <row r="3" spans="1:7" ht="48.75" thickTop="1" thickBot="1" x14ac:dyDescent="0.3">
      <c r="A3" s="65"/>
      <c r="B3" s="66" t="s">
        <v>112</v>
      </c>
      <c r="C3" s="66" t="s">
        <v>114</v>
      </c>
      <c r="D3" s="66" t="s">
        <v>124</v>
      </c>
      <c r="E3" s="67" t="s">
        <v>125</v>
      </c>
    </row>
    <row r="4" spans="1:7" ht="16.5" thickTop="1" thickBot="1" x14ac:dyDescent="0.3">
      <c r="A4" s="23" t="s">
        <v>44</v>
      </c>
      <c r="B4" s="35">
        <v>1311</v>
      </c>
      <c r="C4" s="73">
        <v>1213</v>
      </c>
      <c r="D4" s="35">
        <v>1213</v>
      </c>
      <c r="E4" s="36">
        <f>+D4/C4*100</f>
        <v>100</v>
      </c>
    </row>
    <row r="5" spans="1:7" ht="19.5" thickBot="1" x14ac:dyDescent="0.35">
      <c r="A5" s="6" t="s">
        <v>1</v>
      </c>
      <c r="B5" s="43">
        <f>SUM(B6+B8)</f>
        <v>113922</v>
      </c>
      <c r="C5" s="43">
        <f>SUM(C6+C8)</f>
        <v>120921</v>
      </c>
      <c r="D5" s="43">
        <f>D6+D8</f>
        <v>70038</v>
      </c>
      <c r="E5" s="12">
        <f>(D5/C5)*100</f>
        <v>57.92046046592403</v>
      </c>
    </row>
    <row r="6" spans="1:7" ht="15.75" x14ac:dyDescent="0.25">
      <c r="A6" s="5" t="s">
        <v>12</v>
      </c>
      <c r="B6" s="31">
        <f>SUM(B7)</f>
        <v>127810</v>
      </c>
      <c r="C6" s="188">
        <f>SUM(C7)</f>
        <v>132940</v>
      </c>
      <c r="D6" s="31">
        <f>SUM(D7)</f>
        <v>69157</v>
      </c>
      <c r="E6" s="131">
        <f>(D6/C6)*100</f>
        <v>52.021212577102446</v>
      </c>
    </row>
    <row r="7" spans="1:7" x14ac:dyDescent="0.25">
      <c r="A7" s="1" t="s">
        <v>31</v>
      </c>
      <c r="B7" s="33">
        <v>127810</v>
      </c>
      <c r="C7" s="189">
        <f>136076-3136</f>
        <v>132940</v>
      </c>
      <c r="D7" s="33">
        <v>69157</v>
      </c>
      <c r="E7" s="132">
        <f>(D7/C7)*100</f>
        <v>52.021212577102446</v>
      </c>
    </row>
    <row r="8" spans="1:7" ht="15.75" x14ac:dyDescent="0.25">
      <c r="A8" s="5" t="s">
        <v>14</v>
      </c>
      <c r="B8" s="99">
        <f>SUM(B9:B12)</f>
        <v>-13888</v>
      </c>
      <c r="C8" s="190">
        <f>SUM(C9:C12)</f>
        <v>-12019</v>
      </c>
      <c r="D8" s="99">
        <f>SUM(D9:D12)</f>
        <v>881</v>
      </c>
      <c r="E8" s="220">
        <f>100-(D8/C8)*100</f>
        <v>107.33006073716615</v>
      </c>
    </row>
    <row r="9" spans="1:7" x14ac:dyDescent="0.25">
      <c r="A9" s="1" t="s">
        <v>43</v>
      </c>
      <c r="B9" s="100">
        <v>-15459</v>
      </c>
      <c r="C9" s="191">
        <v>-13609</v>
      </c>
      <c r="D9" s="100">
        <v>0</v>
      </c>
      <c r="E9" s="221">
        <f>(D9/C9)*100</f>
        <v>0</v>
      </c>
    </row>
    <row r="10" spans="1:7" x14ac:dyDescent="0.25">
      <c r="A10" s="1" t="s">
        <v>33</v>
      </c>
      <c r="B10" s="33">
        <v>981</v>
      </c>
      <c r="C10" s="189">
        <v>1000</v>
      </c>
      <c r="D10" s="33">
        <v>561</v>
      </c>
      <c r="E10" s="132">
        <f>(D10/C10)*100</f>
        <v>56.100000000000009</v>
      </c>
    </row>
    <row r="11" spans="1:7" x14ac:dyDescent="0.25">
      <c r="A11" s="1" t="s">
        <v>30</v>
      </c>
      <c r="B11" s="33">
        <v>50</v>
      </c>
      <c r="C11" s="189">
        <v>50</v>
      </c>
      <c r="D11" s="33">
        <v>69</v>
      </c>
      <c r="E11" s="132">
        <f t="shared" ref="E11:E28" si="0">(D11/C11)*100</f>
        <v>138</v>
      </c>
    </row>
    <row r="12" spans="1:7" ht="15.75" thickBot="1" x14ac:dyDescent="0.3">
      <c r="A12" s="1" t="s">
        <v>34</v>
      </c>
      <c r="B12" s="33">
        <v>540</v>
      </c>
      <c r="C12" s="189">
        <v>540</v>
      </c>
      <c r="D12" s="33">
        <v>251</v>
      </c>
      <c r="E12" s="132">
        <f t="shared" si="0"/>
        <v>46.481481481481481</v>
      </c>
    </row>
    <row r="13" spans="1:7" ht="19.5" thickBot="1" x14ac:dyDescent="0.35">
      <c r="A13" s="6" t="s">
        <v>2</v>
      </c>
      <c r="B13" s="43">
        <f>SUM(B17+B22+B26+B30+B14)</f>
        <v>64215</v>
      </c>
      <c r="C13" s="139">
        <f>SUM(C17+C22+C26+C30+C14)</f>
        <v>60016</v>
      </c>
      <c r="D13" s="43">
        <f>D14+D17+D22+D26+D30</f>
        <v>4433</v>
      </c>
      <c r="E13" s="12">
        <f t="shared" si="0"/>
        <v>7.3863636363636367</v>
      </c>
      <c r="G13" s="17"/>
    </row>
    <row r="14" spans="1:7" ht="15.75" x14ac:dyDescent="0.25">
      <c r="A14" s="5" t="s">
        <v>7</v>
      </c>
      <c r="B14" s="31">
        <f>SUM(B15:B16)</f>
        <v>700</v>
      </c>
      <c r="C14" s="76">
        <f>SUM(C15:C16)</f>
        <v>680</v>
      </c>
      <c r="D14" s="31">
        <f>SUM(D15:D16)</f>
        <v>235</v>
      </c>
      <c r="E14" s="131">
        <f t="shared" si="0"/>
        <v>34.558823529411761</v>
      </c>
    </row>
    <row r="15" spans="1:7" x14ac:dyDescent="0.25">
      <c r="A15" s="1" t="s">
        <v>16</v>
      </c>
      <c r="B15" s="33">
        <v>350</v>
      </c>
      <c r="C15" s="33">
        <v>330</v>
      </c>
      <c r="D15" s="33">
        <v>141</v>
      </c>
      <c r="E15" s="132">
        <f t="shared" si="0"/>
        <v>42.727272727272727</v>
      </c>
    </row>
    <row r="16" spans="1:7" x14ac:dyDescent="0.25">
      <c r="A16" s="1" t="s">
        <v>17</v>
      </c>
      <c r="B16" s="33">
        <v>350</v>
      </c>
      <c r="C16" s="33">
        <v>350</v>
      </c>
      <c r="D16" s="33">
        <v>94</v>
      </c>
      <c r="E16" s="132">
        <f t="shared" si="0"/>
        <v>26.857142857142858</v>
      </c>
    </row>
    <row r="17" spans="1:5" ht="15.75" x14ac:dyDescent="0.25">
      <c r="A17" s="5" t="s">
        <v>8</v>
      </c>
      <c r="B17" s="31">
        <f>SUM(B18:B21)</f>
        <v>21890</v>
      </c>
      <c r="C17" s="31">
        <f>SUM(C18:C21)</f>
        <v>19736</v>
      </c>
      <c r="D17" s="31">
        <f>SUM(D18:D21)</f>
        <v>-774</v>
      </c>
      <c r="E17" s="32">
        <f t="shared" si="0"/>
        <v>-3.9217673287393597</v>
      </c>
    </row>
    <row r="18" spans="1:5" x14ac:dyDescent="0.25">
      <c r="A18" s="1" t="s">
        <v>18</v>
      </c>
      <c r="B18" s="33">
        <v>4500</v>
      </c>
      <c r="C18" s="205">
        <f>6500-520</f>
        <v>5980</v>
      </c>
      <c r="D18" s="33">
        <v>4325</v>
      </c>
      <c r="E18" s="203">
        <f t="shared" si="0"/>
        <v>72.324414715719058</v>
      </c>
    </row>
    <row r="19" spans="1:5" x14ac:dyDescent="0.25">
      <c r="A19" s="1" t="s">
        <v>19</v>
      </c>
      <c r="B19" s="33">
        <v>10290</v>
      </c>
      <c r="C19" s="205">
        <v>6601</v>
      </c>
      <c r="D19" s="33">
        <v>-6708</v>
      </c>
      <c r="E19" s="203">
        <f>(D19/C19)*100-100</f>
        <v>-201.62096652022421</v>
      </c>
    </row>
    <row r="20" spans="1:5" x14ac:dyDescent="0.25">
      <c r="A20" s="1" t="s">
        <v>52</v>
      </c>
      <c r="B20" s="33">
        <v>600</v>
      </c>
      <c r="C20" s="205">
        <f>600-145</f>
        <v>455</v>
      </c>
      <c r="D20" s="33">
        <v>344</v>
      </c>
      <c r="E20" s="203">
        <f t="shared" si="0"/>
        <v>75.604395604395606</v>
      </c>
    </row>
    <row r="21" spans="1:5" x14ac:dyDescent="0.25">
      <c r="A21" s="1" t="s">
        <v>20</v>
      </c>
      <c r="B21" s="33">
        <v>6500</v>
      </c>
      <c r="C21" s="205">
        <f>8500-1700-100</f>
        <v>6700</v>
      </c>
      <c r="D21" s="33">
        <v>1265</v>
      </c>
      <c r="E21" s="203">
        <f t="shared" si="0"/>
        <v>18.880597014925375</v>
      </c>
    </row>
    <row r="22" spans="1:5" ht="15.75" x14ac:dyDescent="0.25">
      <c r="A22" s="5" t="s">
        <v>9</v>
      </c>
      <c r="B22" s="31">
        <f>SUM(B23:B25)</f>
        <v>3200</v>
      </c>
      <c r="C22" s="31">
        <f>SUM(C23:C25)</f>
        <v>2980</v>
      </c>
      <c r="D22" s="31">
        <f>SUM(D23:D25)</f>
        <v>1063</v>
      </c>
      <c r="E22" s="32">
        <f t="shared" si="0"/>
        <v>35.671140939597315</v>
      </c>
    </row>
    <row r="23" spans="1:5" x14ac:dyDescent="0.25">
      <c r="A23" s="1" t="s">
        <v>21</v>
      </c>
      <c r="B23" s="33">
        <v>1500</v>
      </c>
      <c r="C23" s="205">
        <f>1500-100-10-20-70</f>
        <v>1300</v>
      </c>
      <c r="D23" s="33">
        <v>457</v>
      </c>
      <c r="E23" s="203">
        <f t="shared" si="0"/>
        <v>35.153846153846153</v>
      </c>
    </row>
    <row r="24" spans="1:5" x14ac:dyDescent="0.25">
      <c r="A24" s="1" t="s">
        <v>22</v>
      </c>
      <c r="B24" s="33">
        <v>200</v>
      </c>
      <c r="C24" s="205">
        <v>300</v>
      </c>
      <c r="D24" s="33">
        <v>90</v>
      </c>
      <c r="E24" s="203">
        <f t="shared" si="0"/>
        <v>30</v>
      </c>
    </row>
    <row r="25" spans="1:5" x14ac:dyDescent="0.25">
      <c r="A25" s="1" t="s">
        <v>23</v>
      </c>
      <c r="B25" s="33">
        <v>1500</v>
      </c>
      <c r="C25" s="205">
        <f>1500-120</f>
        <v>1380</v>
      </c>
      <c r="D25" s="33">
        <v>516</v>
      </c>
      <c r="E25" s="203">
        <f t="shared" si="0"/>
        <v>37.391304347826086</v>
      </c>
    </row>
    <row r="26" spans="1:5" ht="15.75" x14ac:dyDescent="0.25">
      <c r="A26" s="5" t="s">
        <v>10</v>
      </c>
      <c r="B26" s="31">
        <f>SUM(B27:B29)</f>
        <v>29628</v>
      </c>
      <c r="C26" s="31">
        <f>SUM(C27:C29)</f>
        <v>30035</v>
      </c>
      <c r="D26" s="31">
        <f>SUM(D27:D29)</f>
        <v>2938</v>
      </c>
      <c r="E26" s="32">
        <f t="shared" si="0"/>
        <v>9.7819210920592639</v>
      </c>
    </row>
    <row r="27" spans="1:5" x14ac:dyDescent="0.25">
      <c r="A27" s="1" t="s">
        <v>24</v>
      </c>
      <c r="B27" s="33">
        <v>13732</v>
      </c>
      <c r="C27" s="205">
        <f>14645-364-42</f>
        <v>14239</v>
      </c>
      <c r="D27" s="33">
        <v>5456</v>
      </c>
      <c r="E27" s="203">
        <f t="shared" si="0"/>
        <v>38.317297563031111</v>
      </c>
    </row>
    <row r="28" spans="1:5" x14ac:dyDescent="0.25">
      <c r="A28" s="1" t="s">
        <v>25</v>
      </c>
      <c r="B28" s="33">
        <v>7326</v>
      </c>
      <c r="C28" s="205">
        <v>7326</v>
      </c>
      <c r="D28" s="33">
        <v>2751</v>
      </c>
      <c r="E28" s="203">
        <f t="shared" si="0"/>
        <v>37.551187551187553</v>
      </c>
    </row>
    <row r="29" spans="1:5" x14ac:dyDescent="0.25">
      <c r="A29" s="1" t="s">
        <v>26</v>
      </c>
      <c r="B29" s="33">
        <v>8570</v>
      </c>
      <c r="C29" s="205">
        <f>8570-100</f>
        <v>8470</v>
      </c>
      <c r="D29" s="33">
        <v>-5269</v>
      </c>
      <c r="E29" s="203">
        <f>(D29/C29)*100-100</f>
        <v>-162.20779220779221</v>
      </c>
    </row>
    <row r="30" spans="1:5" ht="15.75" x14ac:dyDescent="0.25">
      <c r="A30" s="5" t="s">
        <v>11</v>
      </c>
      <c r="B30" s="31">
        <f>SUM(B31:B33)</f>
        <v>8797</v>
      </c>
      <c r="C30" s="188">
        <f>SUM(C31:C33)</f>
        <v>6585</v>
      </c>
      <c r="D30" s="31">
        <f>SUM(D31:D33)</f>
        <v>971</v>
      </c>
      <c r="E30" s="32">
        <f t="shared" ref="E30:E35" si="1">(D30/C30)*100</f>
        <v>14.745634016704631</v>
      </c>
    </row>
    <row r="31" spans="1:5" x14ac:dyDescent="0.25">
      <c r="A31" s="1" t="s">
        <v>27</v>
      </c>
      <c r="B31" s="33">
        <v>8508</v>
      </c>
      <c r="C31" s="33">
        <f>6990-985</f>
        <v>6005</v>
      </c>
      <c r="D31" s="33">
        <v>0</v>
      </c>
      <c r="E31" s="132">
        <f t="shared" si="1"/>
        <v>0</v>
      </c>
    </row>
    <row r="32" spans="1:5" x14ac:dyDescent="0.25">
      <c r="A32" s="1" t="s">
        <v>28</v>
      </c>
      <c r="B32" s="33">
        <v>239</v>
      </c>
      <c r="C32" s="33">
        <v>530</v>
      </c>
      <c r="D32" s="33">
        <v>971</v>
      </c>
      <c r="E32" s="132">
        <f t="shared" si="1"/>
        <v>183.20754716981131</v>
      </c>
    </row>
    <row r="33" spans="1:5" ht="15.75" thickBot="1" x14ac:dyDescent="0.3">
      <c r="A33" s="1" t="s">
        <v>29</v>
      </c>
      <c r="B33" s="33">
        <v>50</v>
      </c>
      <c r="C33" s="77">
        <v>50</v>
      </c>
      <c r="D33" s="33">
        <v>0</v>
      </c>
      <c r="E33" s="135">
        <f t="shared" si="1"/>
        <v>0</v>
      </c>
    </row>
    <row r="34" spans="1:5" ht="38.25" thickBot="1" x14ac:dyDescent="0.3">
      <c r="A34" s="7" t="s">
        <v>46</v>
      </c>
      <c r="B34" s="43">
        <f>SUM(B5-B13)</f>
        <v>49707</v>
      </c>
      <c r="C34" s="43">
        <f>SUM(C5-C13)</f>
        <v>60905</v>
      </c>
      <c r="D34" s="43">
        <f>D5-D13</f>
        <v>65605</v>
      </c>
      <c r="E34" s="14">
        <f t="shared" si="1"/>
        <v>107.71693621213365</v>
      </c>
    </row>
    <row r="35" spans="1:5" ht="16.5" thickBot="1" x14ac:dyDescent="0.3">
      <c r="A35" s="8" t="s">
        <v>15</v>
      </c>
      <c r="B35" s="34">
        <v>45000</v>
      </c>
      <c r="C35" s="34">
        <v>45000</v>
      </c>
      <c r="D35" s="34">
        <v>22500</v>
      </c>
      <c r="E35" s="37">
        <f t="shared" si="1"/>
        <v>50</v>
      </c>
    </row>
    <row r="36" spans="1:5" ht="15.75" thickTop="1" x14ac:dyDescent="0.25"/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AD2FA-6862-43E5-89BC-D6A4D1319D92}">
  <sheetPr>
    <pageSetUpPr fitToPage="1"/>
  </sheetPr>
  <dimension ref="A1:H33"/>
  <sheetViews>
    <sheetView topLeftCell="A15" zoomScale="115" zoomScaleNormal="115" workbookViewId="0">
      <selection activeCell="E22" sqref="E22"/>
    </sheetView>
  </sheetViews>
  <sheetFormatPr defaultRowHeight="15" x14ac:dyDescent="0.25"/>
  <cols>
    <col min="1" max="1" width="48.85546875" customWidth="1"/>
    <col min="2" max="2" width="10.28515625" customWidth="1"/>
    <col min="3" max="3" width="10" customWidth="1"/>
    <col min="4" max="4" width="11.140625" customWidth="1"/>
    <col min="5" max="5" width="12.85546875" customWidth="1"/>
  </cols>
  <sheetData>
    <row r="1" spans="1:8" ht="17.25" x14ac:dyDescent="0.3">
      <c r="A1" s="243" t="s">
        <v>115</v>
      </c>
      <c r="B1" s="243"/>
      <c r="C1" s="243"/>
      <c r="D1" s="243"/>
      <c r="E1" s="243"/>
      <c r="F1" s="243"/>
    </row>
    <row r="2" spans="1:8" ht="15.75" thickBot="1" x14ac:dyDescent="0.3">
      <c r="E2" s="25" t="s">
        <v>39</v>
      </c>
    </row>
    <row r="3" spans="1:8" ht="48.75" thickTop="1" thickBot="1" x14ac:dyDescent="0.3">
      <c r="A3" s="113"/>
      <c r="B3" s="114" t="s">
        <v>112</v>
      </c>
      <c r="C3" s="114" t="s">
        <v>114</v>
      </c>
      <c r="D3" s="114" t="s">
        <v>124</v>
      </c>
      <c r="E3" s="115" t="s">
        <v>125</v>
      </c>
      <c r="F3" s="127"/>
    </row>
    <row r="4" spans="1:8" ht="17.25" thickTop="1" thickBot="1" x14ac:dyDescent="0.3">
      <c r="A4" s="206" t="s">
        <v>45</v>
      </c>
      <c r="B4" s="210">
        <v>0</v>
      </c>
      <c r="C4" s="210">
        <v>6</v>
      </c>
      <c r="D4" s="210">
        <v>7</v>
      </c>
      <c r="E4" s="219">
        <f>SUM(D4/C4)*100</f>
        <v>116.66666666666667</v>
      </c>
      <c r="F4" s="127"/>
    </row>
    <row r="5" spans="1:8" ht="16.5" thickTop="1" thickBot="1" x14ac:dyDescent="0.3">
      <c r="A5" s="207" t="s">
        <v>116</v>
      </c>
      <c r="B5" s="208">
        <v>0</v>
      </c>
      <c r="C5" s="208">
        <v>98</v>
      </c>
      <c r="D5" s="208">
        <v>98</v>
      </c>
      <c r="E5" s="209">
        <f>SUM(D5/C5*100)</f>
        <v>100</v>
      </c>
    </row>
    <row r="6" spans="1:8" ht="19.5" thickBot="1" x14ac:dyDescent="0.35">
      <c r="A6" s="119" t="s">
        <v>1</v>
      </c>
      <c r="B6" s="120">
        <f>SUM(B7+B9)</f>
        <v>0</v>
      </c>
      <c r="C6" s="120">
        <f>SUM(C7+C9)</f>
        <v>25496</v>
      </c>
      <c r="D6" s="120">
        <f>D7+D9</f>
        <v>10886</v>
      </c>
      <c r="E6" s="12">
        <f>SUM(D6/C6*100)</f>
        <v>42.696893630373388</v>
      </c>
    </row>
    <row r="7" spans="1:8" x14ac:dyDescent="0.25">
      <c r="A7" s="129" t="s">
        <v>12</v>
      </c>
      <c r="B7" s="31">
        <f>SUM(B8:B8)</f>
        <v>0</v>
      </c>
      <c r="C7" s="76">
        <f>SUM(C8)</f>
        <v>25486</v>
      </c>
      <c r="D7" s="128">
        <f>SUM(D8:D8)</f>
        <v>10856</v>
      </c>
      <c r="E7" s="32">
        <f>SUM(D7/C7*100)</f>
        <v>42.59593502314997</v>
      </c>
    </row>
    <row r="8" spans="1:8" x14ac:dyDescent="0.25">
      <c r="A8" s="1" t="s">
        <v>31</v>
      </c>
      <c r="B8" s="33">
        <v>0</v>
      </c>
      <c r="C8" s="33">
        <v>25486</v>
      </c>
      <c r="D8" s="17">
        <v>10856</v>
      </c>
      <c r="E8" s="132">
        <f>SUM(D8/C8*100)</f>
        <v>42.59593502314997</v>
      </c>
    </row>
    <row r="9" spans="1:8" x14ac:dyDescent="0.25">
      <c r="A9" s="129" t="s">
        <v>14</v>
      </c>
      <c r="B9" s="31">
        <f>SUM(B10:B11)</f>
        <v>0</v>
      </c>
      <c r="C9" s="99">
        <f>SUM(C10:C12)</f>
        <v>10</v>
      </c>
      <c r="D9" s="128">
        <f>SUM(D10:D12)</f>
        <v>30</v>
      </c>
      <c r="E9" s="32">
        <f>SUM(D9/C9)*100</f>
        <v>300</v>
      </c>
      <c r="H9" s="17"/>
    </row>
    <row r="10" spans="1:8" x14ac:dyDescent="0.25">
      <c r="A10" s="1" t="s">
        <v>43</v>
      </c>
      <c r="B10" s="33">
        <v>0</v>
      </c>
      <c r="C10" s="100">
        <v>-7</v>
      </c>
      <c r="D10" s="17">
        <v>0</v>
      </c>
      <c r="E10" s="132">
        <v>0</v>
      </c>
    </row>
    <row r="11" spans="1:8" x14ac:dyDescent="0.25">
      <c r="A11" s="1" t="s">
        <v>33</v>
      </c>
      <c r="B11" s="33">
        <v>0</v>
      </c>
      <c r="C11" s="33">
        <v>5</v>
      </c>
      <c r="D11" s="196">
        <v>27</v>
      </c>
      <c r="E11" s="197">
        <f t="shared" ref="E11:E26" si="0">SUM((D11/C11)*100)</f>
        <v>540</v>
      </c>
    </row>
    <row r="12" spans="1:8" ht="15.75" thickBot="1" x14ac:dyDescent="0.3">
      <c r="A12" s="1" t="s">
        <v>107</v>
      </c>
      <c r="B12" s="33">
        <v>0</v>
      </c>
      <c r="C12" s="77">
        <v>12</v>
      </c>
      <c r="D12" s="196">
        <v>3</v>
      </c>
      <c r="E12" s="197">
        <f t="shared" si="0"/>
        <v>25</v>
      </c>
    </row>
    <row r="13" spans="1:8" ht="19.5" thickBot="1" x14ac:dyDescent="0.35">
      <c r="A13" s="119" t="s">
        <v>2</v>
      </c>
      <c r="B13" s="139">
        <f>SUM(B17+B21+B25+B29+B14)</f>
        <v>0</v>
      </c>
      <c r="C13" s="139">
        <f>SUM(C17+C21+C25+C29+C14)</f>
        <v>32754</v>
      </c>
      <c r="D13" s="200">
        <f>D14+D17+D21+D25+D29</f>
        <v>10985</v>
      </c>
      <c r="E13" s="198">
        <f t="shared" si="0"/>
        <v>33.537888502167675</v>
      </c>
    </row>
    <row r="14" spans="1:8" x14ac:dyDescent="0.25">
      <c r="A14" s="129" t="s">
        <v>7</v>
      </c>
      <c r="B14" s="31">
        <f>SUM(B15:B16)</f>
        <v>0</v>
      </c>
      <c r="C14" s="76">
        <f>SUM(C15:C16)</f>
        <v>120</v>
      </c>
      <c r="D14" s="75">
        <f>SUM(D15:D16)</f>
        <v>2</v>
      </c>
      <c r="E14" s="199">
        <f t="shared" si="0"/>
        <v>1.6666666666666667</v>
      </c>
    </row>
    <row r="15" spans="1:8" x14ac:dyDescent="0.25">
      <c r="A15" s="1" t="s">
        <v>17</v>
      </c>
      <c r="B15" s="33">
        <v>0</v>
      </c>
      <c r="C15" s="33">
        <v>40</v>
      </c>
      <c r="D15" s="196">
        <v>2</v>
      </c>
      <c r="E15" s="197">
        <f t="shared" si="0"/>
        <v>5</v>
      </c>
    </row>
    <row r="16" spans="1:8" x14ac:dyDescent="0.25">
      <c r="A16" s="1" t="s">
        <v>16</v>
      </c>
      <c r="B16" s="33">
        <v>0</v>
      </c>
      <c r="C16" s="189">
        <v>80</v>
      </c>
      <c r="D16" s="33">
        <v>0</v>
      </c>
      <c r="E16" s="132">
        <f t="shared" si="0"/>
        <v>0</v>
      </c>
    </row>
    <row r="17" spans="1:5" x14ac:dyDescent="0.25">
      <c r="A17" s="129" t="s">
        <v>8</v>
      </c>
      <c r="B17" s="31">
        <v>0</v>
      </c>
      <c r="C17" s="188">
        <f>SUM(C18:C20)</f>
        <v>16420</v>
      </c>
      <c r="D17" s="31">
        <f>SUM(D18:D20)</f>
        <v>7788</v>
      </c>
      <c r="E17" s="32">
        <f t="shared" si="0"/>
        <v>47.429963459196102</v>
      </c>
    </row>
    <row r="18" spans="1:5" x14ac:dyDescent="0.25">
      <c r="A18" s="1" t="s">
        <v>18</v>
      </c>
      <c r="B18" s="33">
        <v>0</v>
      </c>
      <c r="C18" s="189">
        <v>5020</v>
      </c>
      <c r="D18" s="33">
        <v>2741</v>
      </c>
      <c r="E18" s="132">
        <f t="shared" si="0"/>
        <v>54.601593625498012</v>
      </c>
    </row>
    <row r="19" spans="1:5" x14ac:dyDescent="0.25">
      <c r="A19" s="1" t="s">
        <v>54</v>
      </c>
      <c r="B19" s="33">
        <v>0</v>
      </c>
      <c r="C19" s="189">
        <v>600</v>
      </c>
      <c r="D19" s="33">
        <v>591</v>
      </c>
      <c r="E19" s="132">
        <f t="shared" si="0"/>
        <v>98.5</v>
      </c>
    </row>
    <row r="20" spans="1:5" x14ac:dyDescent="0.25">
      <c r="A20" s="1" t="s">
        <v>20</v>
      </c>
      <c r="B20" s="33">
        <v>0</v>
      </c>
      <c r="C20" s="189">
        <v>10800</v>
      </c>
      <c r="D20" s="33">
        <v>4456</v>
      </c>
      <c r="E20" s="132">
        <f t="shared" si="0"/>
        <v>41.25925925925926</v>
      </c>
    </row>
    <row r="21" spans="1:5" x14ac:dyDescent="0.25">
      <c r="A21" s="129" t="s">
        <v>9</v>
      </c>
      <c r="B21" s="31">
        <v>0</v>
      </c>
      <c r="C21" s="188">
        <f>SUM(C22:C24)</f>
        <v>5470</v>
      </c>
      <c r="D21" s="31">
        <f>SUM(D22:D24)</f>
        <v>2108</v>
      </c>
      <c r="E21" s="32">
        <f t="shared" si="0"/>
        <v>38.537477148080441</v>
      </c>
    </row>
    <row r="22" spans="1:5" x14ac:dyDescent="0.25">
      <c r="A22" s="1" t="s">
        <v>21</v>
      </c>
      <c r="B22" s="33">
        <v>0</v>
      </c>
      <c r="C22" s="189">
        <v>2700</v>
      </c>
      <c r="D22" s="33">
        <v>1022</v>
      </c>
      <c r="E22" s="132">
        <f t="shared" si="0"/>
        <v>37.851851851851855</v>
      </c>
    </row>
    <row r="23" spans="1:5" x14ac:dyDescent="0.25">
      <c r="A23" s="1" t="s">
        <v>22</v>
      </c>
      <c r="B23" s="33">
        <v>0</v>
      </c>
      <c r="C23" s="189">
        <v>750</v>
      </c>
      <c r="D23" s="33">
        <v>178</v>
      </c>
      <c r="E23" s="132">
        <f t="shared" si="0"/>
        <v>23.733333333333334</v>
      </c>
    </row>
    <row r="24" spans="1:5" x14ac:dyDescent="0.25">
      <c r="A24" s="1" t="s">
        <v>23</v>
      </c>
      <c r="B24" s="33">
        <v>0</v>
      </c>
      <c r="C24" s="189">
        <v>2020</v>
      </c>
      <c r="D24" s="33">
        <v>908</v>
      </c>
      <c r="E24" s="132">
        <f t="shared" si="0"/>
        <v>44.950495049504951</v>
      </c>
    </row>
    <row r="25" spans="1:5" x14ac:dyDescent="0.25">
      <c r="A25" s="129" t="s">
        <v>10</v>
      </c>
      <c r="B25" s="31">
        <f>SUM(B26:B28)</f>
        <v>0</v>
      </c>
      <c r="C25" s="188">
        <f>SUM(C26:C28)</f>
        <v>3459</v>
      </c>
      <c r="D25" s="31">
        <f>SUM(D26:D28)</f>
        <v>1087</v>
      </c>
      <c r="E25" s="32">
        <f t="shared" si="0"/>
        <v>31.425267418328996</v>
      </c>
    </row>
    <row r="26" spans="1:5" x14ac:dyDescent="0.25">
      <c r="A26" s="1" t="s">
        <v>24</v>
      </c>
      <c r="B26" s="33">
        <v>0</v>
      </c>
      <c r="C26" s="189">
        <v>3201</v>
      </c>
      <c r="D26" s="33">
        <v>1060</v>
      </c>
      <c r="E26" s="132">
        <f t="shared" si="0"/>
        <v>33.114651671352703</v>
      </c>
    </row>
    <row r="27" spans="1:5" x14ac:dyDescent="0.25">
      <c r="A27" s="1" t="s">
        <v>25</v>
      </c>
      <c r="B27" s="33">
        <v>0</v>
      </c>
      <c r="C27" s="211">
        <v>158</v>
      </c>
      <c r="D27" s="33">
        <v>27</v>
      </c>
      <c r="E27" s="132">
        <f>SUM(D27/C27)*100</f>
        <v>17.088607594936708</v>
      </c>
    </row>
    <row r="28" spans="1:5" x14ac:dyDescent="0.25">
      <c r="A28" s="1" t="s">
        <v>26</v>
      </c>
      <c r="B28" s="33">
        <v>0</v>
      </c>
      <c r="C28" s="211">
        <v>100</v>
      </c>
      <c r="D28" s="33">
        <v>0</v>
      </c>
      <c r="E28" s="132">
        <f>SUM((D28/C28)*100)</f>
        <v>0</v>
      </c>
    </row>
    <row r="29" spans="1:5" x14ac:dyDescent="0.25">
      <c r="A29" s="129" t="s">
        <v>11</v>
      </c>
      <c r="B29" s="31">
        <v>0</v>
      </c>
      <c r="C29" s="188">
        <f>SUM(C30)</f>
        <v>7285</v>
      </c>
      <c r="D29" s="31">
        <f>SUM(D30:D30)</f>
        <v>0</v>
      </c>
      <c r="E29" s="32">
        <f>SUM((D29/C29)*100)</f>
        <v>0</v>
      </c>
    </row>
    <row r="30" spans="1:5" ht="15.75" thickBot="1" x14ac:dyDescent="0.3">
      <c r="A30" s="1" t="s">
        <v>27</v>
      </c>
      <c r="B30" s="33">
        <v>0</v>
      </c>
      <c r="C30" s="189">
        <v>7285</v>
      </c>
      <c r="D30" s="33">
        <v>0</v>
      </c>
      <c r="E30" s="132">
        <f>SUM((D30/C30)*100)</f>
        <v>0</v>
      </c>
    </row>
    <row r="31" spans="1:5" ht="38.25" thickBot="1" x14ac:dyDescent="0.3">
      <c r="A31" s="121" t="s">
        <v>46</v>
      </c>
      <c r="B31" s="123">
        <f>SUM(B6-B13)</f>
        <v>0</v>
      </c>
      <c r="C31" s="123">
        <f>SUM(C6-C13)</f>
        <v>-7258</v>
      </c>
      <c r="D31" s="120">
        <f>D6-D13</f>
        <v>-99</v>
      </c>
      <c r="E31" s="14">
        <f>SUM((D31/C31)*100)</f>
        <v>1.3640121245522183</v>
      </c>
    </row>
    <row r="32" spans="1:5" ht="16.5" thickBot="1" x14ac:dyDescent="0.3">
      <c r="A32" s="124" t="s">
        <v>15</v>
      </c>
      <c r="B32" s="125">
        <v>0</v>
      </c>
      <c r="C32" s="126">
        <v>0</v>
      </c>
      <c r="D32" s="126">
        <v>0</v>
      </c>
      <c r="E32" s="37">
        <v>0</v>
      </c>
    </row>
    <row r="33" ht="15.75" thickTop="1" x14ac:dyDescent="0.25"/>
  </sheetData>
  <mergeCells count="1">
    <mergeCell ref="A1:F1"/>
  </mergeCells>
  <pageMargins left="0.82677165354330717" right="0.23622047244094491" top="0.74803149606299213" bottom="0.74803149606299213" header="0.31496062992125984" footer="0.31496062992125984"/>
  <pageSetup paperSize="9" scale="89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6"/>
  <sheetViews>
    <sheetView topLeftCell="A13" zoomScale="115" zoomScaleNormal="115" workbookViewId="0">
      <selection activeCell="D31" sqref="D31"/>
    </sheetView>
  </sheetViews>
  <sheetFormatPr defaultRowHeight="15" x14ac:dyDescent="0.25"/>
  <cols>
    <col min="1" max="1" width="48.85546875" customWidth="1"/>
    <col min="2" max="2" width="10.28515625" customWidth="1"/>
    <col min="3" max="3" width="10" customWidth="1"/>
    <col min="4" max="4" width="11.140625" customWidth="1"/>
    <col min="5" max="5" width="12.85546875" customWidth="1"/>
  </cols>
  <sheetData>
    <row r="1" spans="1:8" ht="17.25" x14ac:dyDescent="0.3">
      <c r="A1" s="243" t="s">
        <v>51</v>
      </c>
      <c r="B1" s="243"/>
      <c r="C1" s="243"/>
      <c r="D1" s="243"/>
      <c r="E1" s="243"/>
      <c r="F1" s="243"/>
    </row>
    <row r="2" spans="1:8" ht="15.75" thickBot="1" x14ac:dyDescent="0.3">
      <c r="E2" s="25" t="s">
        <v>39</v>
      </c>
    </row>
    <row r="3" spans="1:8" ht="48.75" thickTop="1" thickBot="1" x14ac:dyDescent="0.3">
      <c r="A3" s="113"/>
      <c r="B3" s="114" t="s">
        <v>112</v>
      </c>
      <c r="C3" s="114" t="s">
        <v>114</v>
      </c>
      <c r="D3" s="114" t="s">
        <v>124</v>
      </c>
      <c r="E3" s="115" t="s">
        <v>125</v>
      </c>
      <c r="F3" s="127"/>
    </row>
    <row r="4" spans="1:8" ht="16.5" thickTop="1" thickBot="1" x14ac:dyDescent="0.3">
      <c r="A4" s="116" t="s">
        <v>45</v>
      </c>
      <c r="B4" s="117">
        <v>48</v>
      </c>
      <c r="C4" s="117">
        <v>47</v>
      </c>
      <c r="D4" s="117">
        <v>47</v>
      </c>
      <c r="E4" s="118">
        <f t="shared" ref="E4:E9" si="0">(D4/C4)*100</f>
        <v>100</v>
      </c>
    </row>
    <row r="5" spans="1:8" ht="19.5" thickBot="1" x14ac:dyDescent="0.35">
      <c r="A5" s="119" t="s">
        <v>1</v>
      </c>
      <c r="B5" s="120">
        <f>SUM(B6+B9)</f>
        <v>55853</v>
      </c>
      <c r="C5" s="120">
        <f>SUM(C6+C9)</f>
        <v>55368</v>
      </c>
      <c r="D5" s="120">
        <f>D6+D9</f>
        <v>26551</v>
      </c>
      <c r="E5" s="12">
        <f t="shared" si="0"/>
        <v>47.953691663054471</v>
      </c>
    </row>
    <row r="6" spans="1:8" x14ac:dyDescent="0.25">
      <c r="A6" s="129" t="s">
        <v>12</v>
      </c>
      <c r="B6" s="193">
        <f>SUM(B7:B8)</f>
        <v>55454</v>
      </c>
      <c r="C6" s="76">
        <f>SUM(C7:C8)</f>
        <v>54919</v>
      </c>
      <c r="D6" s="128">
        <f>SUM(D7:D8)</f>
        <v>26373</v>
      </c>
      <c r="E6" s="32">
        <f t="shared" si="0"/>
        <v>48.021631857826982</v>
      </c>
    </row>
    <row r="7" spans="1:8" x14ac:dyDescent="0.25">
      <c r="A7" s="1" t="s">
        <v>31</v>
      </c>
      <c r="B7" s="189">
        <v>54580</v>
      </c>
      <c r="C7" s="33">
        <v>54370</v>
      </c>
      <c r="D7" s="17">
        <v>26853</v>
      </c>
      <c r="E7" s="132">
        <f t="shared" si="0"/>
        <v>49.389369137391945</v>
      </c>
    </row>
    <row r="8" spans="1:8" x14ac:dyDescent="0.25">
      <c r="A8" s="1" t="s">
        <v>35</v>
      </c>
      <c r="B8" s="189">
        <v>874</v>
      </c>
      <c r="C8" s="33">
        <v>549</v>
      </c>
      <c r="D8" s="17">
        <v>-480</v>
      </c>
      <c r="E8" s="132">
        <f>-100+(D8/C8)*100</f>
        <v>-187.43169398907105</v>
      </c>
    </row>
    <row r="9" spans="1:8" x14ac:dyDescent="0.25">
      <c r="A9" s="129" t="s">
        <v>14</v>
      </c>
      <c r="B9" s="188">
        <f>SUM(B10:B13)</f>
        <v>399</v>
      </c>
      <c r="C9" s="31">
        <f>SUM(C10:C13)</f>
        <v>449</v>
      </c>
      <c r="D9" s="128">
        <f>SUM(D10:D13)</f>
        <v>178</v>
      </c>
      <c r="E9" s="32">
        <f t="shared" si="0"/>
        <v>39.643652561247215</v>
      </c>
      <c r="H9" s="17"/>
    </row>
    <row r="10" spans="1:8" x14ac:dyDescent="0.25">
      <c r="A10" s="1" t="s">
        <v>43</v>
      </c>
      <c r="B10" s="189">
        <v>-52</v>
      </c>
      <c r="C10" s="33">
        <v>0</v>
      </c>
      <c r="D10" s="17">
        <v>0</v>
      </c>
      <c r="E10" s="132">
        <v>0</v>
      </c>
    </row>
    <row r="11" spans="1:8" x14ac:dyDescent="0.25">
      <c r="A11" s="1" t="s">
        <v>33</v>
      </c>
      <c r="B11" s="189">
        <v>351</v>
      </c>
      <c r="C11" s="33">
        <v>349</v>
      </c>
      <c r="D11" s="196">
        <v>161</v>
      </c>
      <c r="E11" s="197">
        <f>(D11/C11)*100</f>
        <v>46.131805157593128</v>
      </c>
    </row>
    <row r="12" spans="1:8" x14ac:dyDescent="0.25">
      <c r="A12" s="1" t="s">
        <v>30</v>
      </c>
      <c r="B12" s="189">
        <v>100</v>
      </c>
      <c r="C12" s="33">
        <v>100</v>
      </c>
      <c r="D12" s="196">
        <v>13</v>
      </c>
      <c r="E12" s="197">
        <f>(D12/C12)*100</f>
        <v>13</v>
      </c>
    </row>
    <row r="13" spans="1:8" ht="15.75" thickBot="1" x14ac:dyDescent="0.3">
      <c r="A13" s="1" t="s">
        <v>107</v>
      </c>
      <c r="B13" s="189">
        <v>0</v>
      </c>
      <c r="C13" s="77">
        <v>0</v>
      </c>
      <c r="D13" s="196">
        <v>4</v>
      </c>
      <c r="E13" s="197">
        <v>0</v>
      </c>
    </row>
    <row r="14" spans="1:8" ht="19.5" thickBot="1" x14ac:dyDescent="0.35">
      <c r="A14" s="119" t="s">
        <v>2</v>
      </c>
      <c r="B14" s="139">
        <f>SUM(B18+B22+B26+B30+B15)</f>
        <v>107807</v>
      </c>
      <c r="C14" s="139">
        <f>SUM(C18+C22+C26+C30+C15)</f>
        <v>108555</v>
      </c>
      <c r="D14" s="200">
        <f>SUM(D15+D18+D22+D26+D30)</f>
        <v>17837</v>
      </c>
      <c r="E14" s="198">
        <f t="shared" ref="E14:E33" si="1">(D14/C14)*100</f>
        <v>16.43130210492377</v>
      </c>
    </row>
    <row r="15" spans="1:8" x14ac:dyDescent="0.25">
      <c r="A15" s="129" t="s">
        <v>7</v>
      </c>
      <c r="B15" s="76">
        <f>SUM(B16:B17)</f>
        <v>160</v>
      </c>
      <c r="C15" s="76">
        <f>SUM(C16:C17)</f>
        <v>130</v>
      </c>
      <c r="D15" s="75">
        <f>SUM(D16:D17)</f>
        <v>76</v>
      </c>
      <c r="E15" s="199">
        <f t="shared" si="1"/>
        <v>58.461538461538467</v>
      </c>
    </row>
    <row r="16" spans="1:8" x14ac:dyDescent="0.25">
      <c r="A16" s="1" t="s">
        <v>17</v>
      </c>
      <c r="B16" s="33">
        <v>140</v>
      </c>
      <c r="C16" s="33">
        <v>110</v>
      </c>
      <c r="D16" s="196">
        <v>73</v>
      </c>
      <c r="E16" s="197">
        <f t="shared" si="1"/>
        <v>66.363636363636374</v>
      </c>
    </row>
    <row r="17" spans="1:5" x14ac:dyDescent="0.25">
      <c r="A17" s="1" t="s">
        <v>16</v>
      </c>
      <c r="B17" s="33">
        <v>20</v>
      </c>
      <c r="C17" s="189">
        <v>20</v>
      </c>
      <c r="D17" s="33">
        <v>3</v>
      </c>
      <c r="E17" s="132">
        <f t="shared" si="1"/>
        <v>15</v>
      </c>
    </row>
    <row r="18" spans="1:5" x14ac:dyDescent="0.25">
      <c r="A18" s="129" t="s">
        <v>8</v>
      </c>
      <c r="B18" s="31">
        <f>SUM(B19:B21)</f>
        <v>23700</v>
      </c>
      <c r="C18" s="188">
        <f>SUM(C19:C21)</f>
        <v>22168</v>
      </c>
      <c r="D18" s="31">
        <f>SUM(D19:D21)</f>
        <v>5265</v>
      </c>
      <c r="E18" s="32">
        <f t="shared" si="1"/>
        <v>23.750451100685673</v>
      </c>
    </row>
    <row r="19" spans="1:5" x14ac:dyDescent="0.25">
      <c r="A19" s="1" t="s">
        <v>18</v>
      </c>
      <c r="B19" s="33">
        <v>10000</v>
      </c>
      <c r="C19" s="189">
        <v>8000</v>
      </c>
      <c r="D19" s="33">
        <v>3958</v>
      </c>
      <c r="E19" s="132">
        <f t="shared" si="1"/>
        <v>49.475000000000001</v>
      </c>
    </row>
    <row r="20" spans="1:5" x14ac:dyDescent="0.25">
      <c r="A20" s="1" t="s">
        <v>54</v>
      </c>
      <c r="B20" s="33">
        <v>1000</v>
      </c>
      <c r="C20" s="189">
        <v>800</v>
      </c>
      <c r="D20" s="33">
        <v>301</v>
      </c>
      <c r="E20" s="132">
        <f t="shared" si="1"/>
        <v>37.625</v>
      </c>
    </row>
    <row r="21" spans="1:5" x14ac:dyDescent="0.25">
      <c r="A21" s="1" t="s">
        <v>20</v>
      </c>
      <c r="B21" s="33">
        <v>12700</v>
      </c>
      <c r="C21" s="189">
        <v>13368</v>
      </c>
      <c r="D21" s="33">
        <v>1006</v>
      </c>
      <c r="E21" s="132">
        <f t="shared" si="1"/>
        <v>7.5254338719329734</v>
      </c>
    </row>
    <row r="22" spans="1:5" x14ac:dyDescent="0.25">
      <c r="A22" s="129" t="s">
        <v>9</v>
      </c>
      <c r="B22" s="31">
        <f>SUM(B23:B25)</f>
        <v>18000</v>
      </c>
      <c r="C22" s="188">
        <f>SUM(C23:C25)</f>
        <v>21692</v>
      </c>
      <c r="D22" s="31">
        <f>SUM(D23:D25)</f>
        <v>6801</v>
      </c>
      <c r="E22" s="32">
        <f t="shared" si="1"/>
        <v>31.352572376913145</v>
      </c>
    </row>
    <row r="23" spans="1:5" x14ac:dyDescent="0.25">
      <c r="A23" s="1" t="s">
        <v>21</v>
      </c>
      <c r="B23" s="33">
        <v>8500</v>
      </c>
      <c r="C23" s="189">
        <v>8200</v>
      </c>
      <c r="D23" s="33">
        <v>3823</v>
      </c>
      <c r="E23" s="132">
        <f t="shared" si="1"/>
        <v>46.621951219512198</v>
      </c>
    </row>
    <row r="24" spans="1:5" x14ac:dyDescent="0.25">
      <c r="A24" s="1" t="s">
        <v>22</v>
      </c>
      <c r="B24" s="33">
        <v>2000</v>
      </c>
      <c r="C24" s="189">
        <v>5450</v>
      </c>
      <c r="D24" s="33">
        <v>1179</v>
      </c>
      <c r="E24" s="132">
        <f t="shared" si="1"/>
        <v>21.63302752293578</v>
      </c>
    </row>
    <row r="25" spans="1:5" x14ac:dyDescent="0.25">
      <c r="A25" s="1" t="s">
        <v>23</v>
      </c>
      <c r="B25" s="33">
        <v>7500</v>
      </c>
      <c r="C25" s="189">
        <v>8042</v>
      </c>
      <c r="D25" s="33">
        <v>1799</v>
      </c>
      <c r="E25" s="132">
        <f t="shared" si="1"/>
        <v>22.370057199701566</v>
      </c>
    </row>
    <row r="26" spans="1:5" x14ac:dyDescent="0.25">
      <c r="A26" s="129" t="s">
        <v>10</v>
      </c>
      <c r="B26" s="31">
        <f>SUM(B27:B29)</f>
        <v>13748</v>
      </c>
      <c r="C26" s="188">
        <f>SUM(C27:C29)</f>
        <v>13620</v>
      </c>
      <c r="D26" s="31">
        <f>SUM(D27:D29)</f>
        <v>5687</v>
      </c>
      <c r="E26" s="32">
        <f t="shared" si="1"/>
        <v>41.754772393538914</v>
      </c>
    </row>
    <row r="27" spans="1:5" x14ac:dyDescent="0.25">
      <c r="A27" s="1" t="s">
        <v>24</v>
      </c>
      <c r="B27" s="33">
        <v>10266</v>
      </c>
      <c r="C27" s="189">
        <v>10138</v>
      </c>
      <c r="D27" s="33">
        <v>4349</v>
      </c>
      <c r="E27" s="132">
        <f t="shared" si="1"/>
        <v>42.898007496547642</v>
      </c>
    </row>
    <row r="28" spans="1:5" x14ac:dyDescent="0.25">
      <c r="A28" s="1" t="s">
        <v>25</v>
      </c>
      <c r="B28" s="33">
        <v>3282</v>
      </c>
      <c r="C28" s="189">
        <v>3282</v>
      </c>
      <c r="D28" s="33">
        <v>1257</v>
      </c>
      <c r="E28" s="132">
        <f t="shared" si="1"/>
        <v>38.299817184643508</v>
      </c>
    </row>
    <row r="29" spans="1:5" x14ac:dyDescent="0.25">
      <c r="A29" s="1" t="s">
        <v>26</v>
      </c>
      <c r="B29" s="33">
        <v>200</v>
      </c>
      <c r="C29" s="189">
        <v>200</v>
      </c>
      <c r="D29" s="33">
        <v>81</v>
      </c>
      <c r="E29" s="132">
        <f t="shared" si="1"/>
        <v>40.5</v>
      </c>
    </row>
    <row r="30" spans="1:5" x14ac:dyDescent="0.25">
      <c r="A30" s="129" t="s">
        <v>11</v>
      </c>
      <c r="B30" s="31">
        <f>SUM(B31:B33)</f>
        <v>52199</v>
      </c>
      <c r="C30" s="188">
        <f>SUM(C31:C33)</f>
        <v>50945</v>
      </c>
      <c r="D30" s="31">
        <f>SUM(D31:D33)</f>
        <v>8</v>
      </c>
      <c r="E30" s="32">
        <f t="shared" si="1"/>
        <v>1.570320934340956E-2</v>
      </c>
    </row>
    <row r="31" spans="1:5" x14ac:dyDescent="0.25">
      <c r="A31" s="1" t="s">
        <v>27</v>
      </c>
      <c r="B31" s="33">
        <v>52149</v>
      </c>
      <c r="C31" s="189">
        <v>50895</v>
      </c>
      <c r="D31" s="33">
        <v>0</v>
      </c>
      <c r="E31" s="132">
        <f t="shared" si="1"/>
        <v>0</v>
      </c>
    </row>
    <row r="32" spans="1:5" x14ac:dyDescent="0.25">
      <c r="A32" s="1" t="s">
        <v>139</v>
      </c>
      <c r="B32" s="33">
        <v>0</v>
      </c>
      <c r="C32" s="189">
        <v>0</v>
      </c>
      <c r="D32" s="33">
        <v>8</v>
      </c>
      <c r="E32" s="230" t="s">
        <v>140</v>
      </c>
    </row>
    <row r="33" spans="1:5" ht="15.75" thickBot="1" x14ac:dyDescent="0.3">
      <c r="A33" s="1" t="s">
        <v>29</v>
      </c>
      <c r="B33" s="33">
        <v>50</v>
      </c>
      <c r="C33" s="189">
        <v>50</v>
      </c>
      <c r="D33" s="33">
        <v>0</v>
      </c>
      <c r="E33" s="135">
        <f t="shared" si="1"/>
        <v>0</v>
      </c>
    </row>
    <row r="34" spans="1:5" ht="38.25" thickBot="1" x14ac:dyDescent="0.3">
      <c r="A34" s="121" t="s">
        <v>46</v>
      </c>
      <c r="B34" s="122">
        <f>SUM(B5-B14)</f>
        <v>-51954</v>
      </c>
      <c r="C34" s="123">
        <f>SUM(C5-C14)</f>
        <v>-53187</v>
      </c>
      <c r="D34" s="120">
        <f>D5-D14</f>
        <v>8714</v>
      </c>
      <c r="E34" s="14">
        <f>100+-(D34/C34)*100</f>
        <v>116.38370278451501</v>
      </c>
    </row>
    <row r="35" spans="1:5" ht="16.5" thickBot="1" x14ac:dyDescent="0.3">
      <c r="A35" s="124" t="s">
        <v>15</v>
      </c>
      <c r="B35" s="125">
        <v>0</v>
      </c>
      <c r="C35" s="126">
        <v>0</v>
      </c>
      <c r="D35" s="126">
        <v>0</v>
      </c>
      <c r="E35" s="37">
        <v>0</v>
      </c>
    </row>
    <row r="36" spans="1:5" ht="15.75" thickTop="1" x14ac:dyDescent="0.25"/>
  </sheetData>
  <mergeCells count="1">
    <mergeCell ref="A1:F1"/>
  </mergeCells>
  <pageMargins left="0.82677165354330717" right="0.23622047244094491" top="0.74803149606299213" bottom="0.74803149606299213" header="0.31496062992125984" footer="0.31496062992125984"/>
  <pageSetup paperSize="9" scale="89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C1:K34"/>
  <sheetViews>
    <sheetView topLeftCell="D9" workbookViewId="0">
      <selection activeCell="I33" sqref="I33"/>
    </sheetView>
  </sheetViews>
  <sheetFormatPr defaultRowHeight="15" x14ac:dyDescent="0.25"/>
  <cols>
    <col min="1" max="2" width="0" hidden="1" customWidth="1"/>
    <col min="3" max="3" width="28.7109375" hidden="1" customWidth="1"/>
    <col min="4" max="4" width="39.7109375" bestFit="1" customWidth="1"/>
    <col min="5" max="5" width="83" customWidth="1"/>
    <col min="6" max="6" width="10.28515625" customWidth="1"/>
    <col min="7" max="7" width="10.42578125" customWidth="1"/>
    <col min="8" max="9" width="8.7109375" customWidth="1"/>
  </cols>
  <sheetData>
    <row r="1" spans="4:10" ht="17.25" x14ac:dyDescent="0.3">
      <c r="D1" s="170"/>
      <c r="E1" s="170"/>
      <c r="F1" s="170"/>
      <c r="G1" s="170"/>
      <c r="H1" s="170"/>
      <c r="I1" s="170"/>
      <c r="J1" s="170"/>
    </row>
    <row r="2" spans="4:10" ht="17.25" x14ac:dyDescent="0.3">
      <c r="D2" s="170" t="s">
        <v>99</v>
      </c>
      <c r="E2" s="170"/>
      <c r="F2" s="170"/>
      <c r="G2" s="170"/>
      <c r="H2" s="170"/>
      <c r="I2" s="170"/>
      <c r="J2" s="170"/>
    </row>
    <row r="3" spans="4:10" ht="14.45" customHeight="1" thickBot="1" x14ac:dyDescent="0.3">
      <c r="H3" s="50" t="s">
        <v>77</v>
      </c>
      <c r="I3" s="227" t="s">
        <v>138</v>
      </c>
    </row>
    <row r="4" spans="4:10" ht="15.75" thickTop="1" x14ac:dyDescent="0.25">
      <c r="D4" s="231" t="s">
        <v>94</v>
      </c>
      <c r="E4" s="232"/>
      <c r="F4" s="217" t="s">
        <v>130</v>
      </c>
      <c r="G4" s="217" t="s">
        <v>114</v>
      </c>
      <c r="H4" s="217" t="s">
        <v>129</v>
      </c>
      <c r="I4" s="226" t="s">
        <v>137</v>
      </c>
    </row>
    <row r="5" spans="4:10" ht="15.75" x14ac:dyDescent="0.25">
      <c r="D5" s="179" t="s">
        <v>65</v>
      </c>
      <c r="E5" s="50" t="s">
        <v>78</v>
      </c>
      <c r="F5" s="160">
        <v>400</v>
      </c>
      <c r="G5" s="160">
        <v>577</v>
      </c>
      <c r="H5" s="160">
        <v>0</v>
      </c>
      <c r="I5" s="172">
        <v>0</v>
      </c>
    </row>
    <row r="6" spans="4:10" ht="15.75" x14ac:dyDescent="0.25">
      <c r="D6" s="187"/>
      <c r="E6" s="50"/>
      <c r="F6" s="160">
        <v>500</v>
      </c>
      <c r="G6" s="160">
        <v>436</v>
      </c>
      <c r="H6" s="160">
        <v>0</v>
      </c>
      <c r="I6" s="172">
        <v>0</v>
      </c>
    </row>
    <row r="7" spans="4:10" ht="15.75" x14ac:dyDescent="0.25">
      <c r="D7" s="186"/>
      <c r="E7" s="218" t="s">
        <v>79</v>
      </c>
      <c r="F7" s="160">
        <v>0</v>
      </c>
      <c r="G7" s="160">
        <v>1571</v>
      </c>
      <c r="H7" s="160">
        <v>0</v>
      </c>
      <c r="I7" s="172">
        <v>0</v>
      </c>
    </row>
    <row r="8" spans="4:10" ht="15.75" x14ac:dyDescent="0.25">
      <c r="D8" s="179" t="s">
        <v>80</v>
      </c>
      <c r="E8" s="161" t="s">
        <v>66</v>
      </c>
      <c r="F8" s="162">
        <v>300</v>
      </c>
      <c r="G8" s="223">
        <f>296+110</f>
        <v>406</v>
      </c>
      <c r="H8" s="162">
        <v>0</v>
      </c>
      <c r="I8" s="172">
        <v>0</v>
      </c>
    </row>
    <row r="9" spans="4:10" ht="15.75" x14ac:dyDescent="0.25">
      <c r="D9" s="179" t="s">
        <v>67</v>
      </c>
      <c r="E9" s="163" t="s">
        <v>81</v>
      </c>
      <c r="F9" s="162">
        <v>400</v>
      </c>
      <c r="G9" s="162">
        <v>655</v>
      </c>
      <c r="H9" s="162">
        <v>0</v>
      </c>
      <c r="I9" s="172">
        <v>0</v>
      </c>
    </row>
    <row r="10" spans="4:10" ht="15.75" x14ac:dyDescent="0.25">
      <c r="D10" s="187"/>
      <c r="E10" s="164" t="s">
        <v>82</v>
      </c>
      <c r="F10" s="162">
        <v>400</v>
      </c>
      <c r="G10" s="162">
        <v>511</v>
      </c>
      <c r="H10" s="162">
        <v>0</v>
      </c>
      <c r="I10" s="172">
        <v>0</v>
      </c>
    </row>
    <row r="11" spans="4:10" ht="15.75" x14ac:dyDescent="0.25">
      <c r="D11" s="171" t="s">
        <v>68</v>
      </c>
      <c r="E11" s="163" t="s">
        <v>83</v>
      </c>
      <c r="F11" s="162">
        <v>500</v>
      </c>
      <c r="G11" s="162">
        <v>273</v>
      </c>
      <c r="H11" s="162">
        <v>0</v>
      </c>
      <c r="I11" s="172">
        <v>0</v>
      </c>
    </row>
    <row r="12" spans="4:10" ht="15.75" x14ac:dyDescent="0.25">
      <c r="D12" s="171" t="s">
        <v>69</v>
      </c>
      <c r="E12" s="161" t="s">
        <v>84</v>
      </c>
      <c r="F12" s="162">
        <v>500</v>
      </c>
      <c r="G12" s="162">
        <v>136</v>
      </c>
      <c r="H12" s="162">
        <v>0</v>
      </c>
      <c r="I12" s="172">
        <v>0</v>
      </c>
    </row>
    <row r="13" spans="4:10" ht="15.75" x14ac:dyDescent="0.25">
      <c r="D13" s="171" t="s">
        <v>70</v>
      </c>
      <c r="E13" s="165" t="s">
        <v>85</v>
      </c>
      <c r="F13" s="162">
        <v>400</v>
      </c>
      <c r="G13" s="162">
        <v>896</v>
      </c>
      <c r="H13" s="162">
        <v>0</v>
      </c>
      <c r="I13" s="172">
        <v>0</v>
      </c>
    </row>
    <row r="14" spans="4:10" ht="15.75" x14ac:dyDescent="0.25">
      <c r="D14" s="179" t="s">
        <v>71</v>
      </c>
      <c r="E14" s="166" t="s">
        <v>86</v>
      </c>
      <c r="F14" s="162">
        <v>500</v>
      </c>
      <c r="G14" s="162">
        <v>116</v>
      </c>
      <c r="H14" s="162">
        <v>0</v>
      </c>
      <c r="I14" s="172">
        <v>0</v>
      </c>
    </row>
    <row r="15" spans="4:10" ht="15.75" x14ac:dyDescent="0.25">
      <c r="D15" s="187"/>
      <c r="E15" s="166" t="s">
        <v>87</v>
      </c>
      <c r="F15" s="162">
        <v>400</v>
      </c>
      <c r="G15" s="162">
        <v>737</v>
      </c>
      <c r="H15" s="162">
        <v>0</v>
      </c>
      <c r="I15" s="172">
        <v>0</v>
      </c>
    </row>
    <row r="16" spans="4:10" ht="15.75" x14ac:dyDescent="0.25">
      <c r="D16" s="179" t="s">
        <v>100</v>
      </c>
      <c r="E16" s="166" t="s">
        <v>88</v>
      </c>
      <c r="F16" s="162">
        <v>400</v>
      </c>
      <c r="G16" s="223">
        <v>579</v>
      </c>
      <c r="H16" s="162">
        <v>0</v>
      </c>
      <c r="I16" s="172">
        <v>0</v>
      </c>
    </row>
    <row r="17" spans="4:11" ht="15.75" x14ac:dyDescent="0.25">
      <c r="D17" s="179" t="s">
        <v>104</v>
      </c>
      <c r="E17" s="166" t="s">
        <v>105</v>
      </c>
      <c r="F17" s="162">
        <v>500</v>
      </c>
      <c r="G17" s="162">
        <v>200</v>
      </c>
      <c r="H17" s="162">
        <v>0</v>
      </c>
      <c r="I17" s="172">
        <v>0</v>
      </c>
    </row>
    <row r="18" spans="4:11" ht="15.75" x14ac:dyDescent="0.25">
      <c r="D18" s="186"/>
      <c r="E18" s="166" t="s">
        <v>106</v>
      </c>
      <c r="F18" s="162">
        <v>500</v>
      </c>
      <c r="G18" s="162">
        <v>210</v>
      </c>
      <c r="H18" s="162">
        <v>0</v>
      </c>
      <c r="I18" s="172">
        <v>0</v>
      </c>
    </row>
    <row r="19" spans="4:11" ht="15.75" x14ac:dyDescent="0.25">
      <c r="D19" s="173" t="s">
        <v>72</v>
      </c>
      <c r="E19" s="166" t="s">
        <v>89</v>
      </c>
      <c r="F19" s="162">
        <v>500</v>
      </c>
      <c r="G19" s="162">
        <v>523</v>
      </c>
      <c r="H19" s="162">
        <v>0</v>
      </c>
      <c r="I19" s="172">
        <v>0</v>
      </c>
    </row>
    <row r="20" spans="4:11" ht="15.75" x14ac:dyDescent="0.25">
      <c r="D20" s="171" t="s">
        <v>73</v>
      </c>
      <c r="E20" s="166" t="s">
        <v>90</v>
      </c>
      <c r="F20" s="162">
        <v>600</v>
      </c>
      <c r="G20" s="162">
        <v>418</v>
      </c>
      <c r="H20" s="162">
        <v>0</v>
      </c>
      <c r="I20" s="172">
        <v>0</v>
      </c>
    </row>
    <row r="21" spans="4:11" ht="15.75" x14ac:dyDescent="0.25">
      <c r="D21" s="171" t="s">
        <v>74</v>
      </c>
      <c r="E21" s="166" t="s">
        <v>91</v>
      </c>
      <c r="F21" s="162">
        <v>1000</v>
      </c>
      <c r="G21" s="162">
        <v>1207</v>
      </c>
      <c r="H21" s="162">
        <v>0</v>
      </c>
      <c r="I21" s="172">
        <v>0</v>
      </c>
      <c r="K21" s="17"/>
    </row>
    <row r="22" spans="4:11" ht="15.75" x14ac:dyDescent="0.25">
      <c r="D22" s="179" t="s">
        <v>75</v>
      </c>
      <c r="E22" s="166" t="s">
        <v>92</v>
      </c>
      <c r="F22" s="162">
        <v>1000</v>
      </c>
      <c r="G22" s="162">
        <v>847</v>
      </c>
      <c r="H22" s="162">
        <v>0</v>
      </c>
      <c r="I22" s="172">
        <v>0</v>
      </c>
    </row>
    <row r="23" spans="4:11" ht="15.75" x14ac:dyDescent="0.25">
      <c r="D23" s="179" t="s">
        <v>76</v>
      </c>
      <c r="E23" s="175" t="s">
        <v>93</v>
      </c>
      <c r="F23" s="168">
        <v>500</v>
      </c>
      <c r="G23" s="162">
        <f>527</f>
        <v>527</v>
      </c>
      <c r="H23" s="168">
        <v>0</v>
      </c>
      <c r="I23" s="176">
        <v>0</v>
      </c>
    </row>
    <row r="24" spans="4:11" ht="15.75" x14ac:dyDescent="0.25">
      <c r="D24" s="179" t="s">
        <v>101</v>
      </c>
      <c r="E24" s="175" t="s">
        <v>102</v>
      </c>
      <c r="F24" s="168">
        <v>600</v>
      </c>
      <c r="G24" s="224">
        <f>666*0</f>
        <v>0</v>
      </c>
      <c r="H24" s="168">
        <v>0</v>
      </c>
      <c r="I24" s="176">
        <v>0</v>
      </c>
    </row>
    <row r="25" spans="4:11" ht="15.75" x14ac:dyDescent="0.25">
      <c r="D25" s="179" t="s">
        <v>103</v>
      </c>
      <c r="E25" s="175" t="s">
        <v>93</v>
      </c>
      <c r="F25" s="168">
        <v>300</v>
      </c>
      <c r="G25" s="168">
        <v>0</v>
      </c>
      <c r="H25" s="168">
        <v>0</v>
      </c>
      <c r="I25" s="176">
        <v>0</v>
      </c>
    </row>
    <row r="26" spans="4:11" ht="15.75" x14ac:dyDescent="0.25">
      <c r="D26" s="179" t="s">
        <v>73</v>
      </c>
      <c r="E26" s="175" t="s">
        <v>108</v>
      </c>
      <c r="F26" s="168">
        <v>0</v>
      </c>
      <c r="G26" s="168">
        <v>0</v>
      </c>
      <c r="H26" s="168">
        <v>0</v>
      </c>
      <c r="I26" s="176">
        <v>0</v>
      </c>
    </row>
    <row r="27" spans="4:11" ht="15.75" x14ac:dyDescent="0.25">
      <c r="D27" s="179" t="s">
        <v>73</v>
      </c>
      <c r="E27" s="175" t="s">
        <v>109</v>
      </c>
      <c r="F27" s="168">
        <v>0</v>
      </c>
      <c r="G27" s="168">
        <v>0</v>
      </c>
      <c r="H27" s="168">
        <v>0</v>
      </c>
      <c r="I27" s="176">
        <v>0</v>
      </c>
    </row>
    <row r="28" spans="4:11" ht="15.75" x14ac:dyDescent="0.25">
      <c r="D28" s="179" t="s">
        <v>73</v>
      </c>
      <c r="E28" s="175" t="s">
        <v>110</v>
      </c>
      <c r="F28" s="168">
        <v>0</v>
      </c>
      <c r="G28" s="168">
        <v>0</v>
      </c>
      <c r="H28" s="168">
        <v>0</v>
      </c>
      <c r="I28" s="176">
        <v>0</v>
      </c>
    </row>
    <row r="29" spans="4:11" ht="16.5" thickBot="1" x14ac:dyDescent="0.3">
      <c r="D29" s="179" t="s">
        <v>73</v>
      </c>
      <c r="E29" s="175" t="s">
        <v>111</v>
      </c>
      <c r="F29" s="168">
        <v>0</v>
      </c>
      <c r="G29" s="168">
        <v>607</v>
      </c>
      <c r="H29" s="168">
        <v>0</v>
      </c>
      <c r="I29" s="176">
        <v>0</v>
      </c>
    </row>
    <row r="30" spans="4:11" ht="16.5" thickBot="1" x14ac:dyDescent="0.3">
      <c r="D30" s="183" t="s">
        <v>98</v>
      </c>
      <c r="E30" s="184"/>
      <c r="F30" s="167">
        <f>SUM(F5:F29)</f>
        <v>10200</v>
      </c>
      <c r="G30" s="167">
        <f>SUM(G5:G29)</f>
        <v>11432</v>
      </c>
      <c r="H30" s="167">
        <f>SUM(H5:H29)</f>
        <v>0</v>
      </c>
      <c r="I30" s="185">
        <v>0</v>
      </c>
    </row>
    <row r="31" spans="4:11" ht="15.75" x14ac:dyDescent="0.25">
      <c r="D31" s="180" t="s">
        <v>97</v>
      </c>
      <c r="E31" s="181"/>
      <c r="F31" s="160">
        <v>500</v>
      </c>
      <c r="G31" s="225">
        <v>136</v>
      </c>
      <c r="H31" s="160">
        <v>0</v>
      </c>
      <c r="I31" s="182">
        <v>0</v>
      </c>
    </row>
    <row r="32" spans="4:11" ht="16.5" thickBot="1" x14ac:dyDescent="0.3">
      <c r="D32" s="174" t="s">
        <v>96</v>
      </c>
      <c r="E32" s="175"/>
      <c r="F32" s="168">
        <v>2000</v>
      </c>
      <c r="G32" s="168">
        <v>1800</v>
      </c>
      <c r="H32" s="168">
        <v>1006</v>
      </c>
      <c r="I32" s="228">
        <f>+H32/G32*100</f>
        <v>55.888888888888886</v>
      </c>
    </row>
    <row r="33" spans="4:9" ht="16.5" thickBot="1" x14ac:dyDescent="0.3">
      <c r="D33" s="177" t="s">
        <v>95</v>
      </c>
      <c r="E33" s="178"/>
      <c r="F33" s="169">
        <f>F30+F31+F32</f>
        <v>12700</v>
      </c>
      <c r="G33" s="169">
        <f>SUM(G30:G32)</f>
        <v>13368</v>
      </c>
      <c r="H33" s="222">
        <f>H30+H31+H32</f>
        <v>1006</v>
      </c>
      <c r="I33" s="229">
        <f>+H33/G33*100</f>
        <v>7.5254338719329734</v>
      </c>
    </row>
    <row r="34" spans="4:9" ht="15.75" thickTop="1" x14ac:dyDescent="0.25"/>
  </sheetData>
  <mergeCells count="1">
    <mergeCell ref="D4:E4"/>
  </mergeCells>
  <pageMargins left="0.25" right="0.25" top="0.75" bottom="0.75" header="0.3" footer="0.3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34"/>
  <sheetViews>
    <sheetView topLeftCell="A10" zoomScale="115" zoomScaleNormal="115" workbookViewId="0">
      <selection activeCell="H32" sqref="H32"/>
    </sheetView>
  </sheetViews>
  <sheetFormatPr defaultRowHeight="15" x14ac:dyDescent="0.25"/>
  <cols>
    <col min="1" max="1" width="48.85546875" customWidth="1"/>
    <col min="2" max="3" width="10.42578125" customWidth="1"/>
    <col min="4" max="4" width="11.7109375" style="16" customWidth="1"/>
    <col min="5" max="5" width="10.42578125" customWidth="1"/>
  </cols>
  <sheetData>
    <row r="1" spans="1:9" ht="17.25" x14ac:dyDescent="0.3">
      <c r="A1" s="10" t="s">
        <v>5</v>
      </c>
      <c r="B1" s="243" t="s">
        <v>40</v>
      </c>
      <c r="C1" s="243"/>
      <c r="D1" s="243"/>
      <c r="E1" s="243"/>
    </row>
    <row r="2" spans="1:9" ht="15.75" thickBot="1" x14ac:dyDescent="0.3">
      <c r="D2"/>
      <c r="E2" s="26" t="s">
        <v>39</v>
      </c>
    </row>
    <row r="3" spans="1:9" ht="48.75" thickTop="1" thickBot="1" x14ac:dyDescent="0.3">
      <c r="A3" s="65"/>
      <c r="B3" s="66" t="s">
        <v>112</v>
      </c>
      <c r="C3" s="66" t="s">
        <v>117</v>
      </c>
      <c r="D3" s="66" t="s">
        <v>124</v>
      </c>
      <c r="E3" s="67" t="s">
        <v>131</v>
      </c>
    </row>
    <row r="4" spans="1:9" ht="16.5" thickTop="1" thickBot="1" x14ac:dyDescent="0.3">
      <c r="A4" s="23" t="s">
        <v>45</v>
      </c>
      <c r="B4" s="38">
        <v>22</v>
      </c>
      <c r="C4" s="38">
        <v>19</v>
      </c>
      <c r="D4" s="38">
        <v>19</v>
      </c>
      <c r="E4" s="36">
        <f>+D4/C4*100</f>
        <v>100</v>
      </c>
    </row>
    <row r="5" spans="1:9" ht="19.5" thickBot="1" x14ac:dyDescent="0.35">
      <c r="A5" s="6" t="s">
        <v>1</v>
      </c>
      <c r="B5" s="43">
        <f>SUM(B6+B8)</f>
        <v>59955</v>
      </c>
      <c r="C5" s="43">
        <f>SUM(C6+C8)</f>
        <v>40228</v>
      </c>
      <c r="D5" s="43">
        <f>D6+D8</f>
        <v>24181</v>
      </c>
      <c r="E5" s="98">
        <f t="shared" ref="E5:E31" si="0">(D5/C5)*100</f>
        <v>60.109873719797157</v>
      </c>
    </row>
    <row r="6" spans="1:9" ht="15.75" x14ac:dyDescent="0.25">
      <c r="A6" s="201" t="s">
        <v>12</v>
      </c>
      <c r="B6" s="76">
        <f>SUM(B7)</f>
        <v>61107</v>
      </c>
      <c r="C6" s="193">
        <f>SUM(C7)</f>
        <v>41975</v>
      </c>
      <c r="D6" s="76">
        <f>SUM(D7)</f>
        <v>23852</v>
      </c>
      <c r="E6" s="131">
        <f t="shared" si="0"/>
        <v>56.824300178677788</v>
      </c>
    </row>
    <row r="7" spans="1:9" x14ac:dyDescent="0.25">
      <c r="A7" s="202" t="s">
        <v>31</v>
      </c>
      <c r="B7" s="33">
        <v>61107</v>
      </c>
      <c r="C7" s="189">
        <v>41975</v>
      </c>
      <c r="D7" s="33">
        <v>23852</v>
      </c>
      <c r="E7" s="132">
        <f t="shared" si="0"/>
        <v>56.824300178677788</v>
      </c>
    </row>
    <row r="8" spans="1:9" ht="15.75" x14ac:dyDescent="0.25">
      <c r="A8" s="201" t="s">
        <v>14</v>
      </c>
      <c r="B8" s="130">
        <f>SUM(B9:B12)</f>
        <v>-1152</v>
      </c>
      <c r="C8" s="212">
        <f>SUM(C9:C12)</f>
        <v>-1747</v>
      </c>
      <c r="D8" s="130">
        <f>SUM(D9:D12)</f>
        <v>329</v>
      </c>
      <c r="E8" s="137">
        <f>(D8/-C8)*100+100</f>
        <v>118.83228391528334</v>
      </c>
    </row>
    <row r="9" spans="1:9" x14ac:dyDescent="0.25">
      <c r="A9" s="202" t="s">
        <v>43</v>
      </c>
      <c r="B9" s="100">
        <v>-1642</v>
      </c>
      <c r="C9" s="191">
        <v>-2345</v>
      </c>
      <c r="D9" s="100">
        <v>0</v>
      </c>
      <c r="E9" s="132">
        <f>(D9/C9)*100</f>
        <v>0</v>
      </c>
    </row>
    <row r="10" spans="1:9" x14ac:dyDescent="0.25">
      <c r="A10" s="202" t="s">
        <v>33</v>
      </c>
      <c r="B10" s="33">
        <v>430</v>
      </c>
      <c r="C10" s="189">
        <v>514</v>
      </c>
      <c r="D10" s="33">
        <v>252</v>
      </c>
      <c r="E10" s="132">
        <f t="shared" si="0"/>
        <v>49.027237354085599</v>
      </c>
    </row>
    <row r="11" spans="1:9" x14ac:dyDescent="0.25">
      <c r="A11" s="202" t="s">
        <v>30</v>
      </c>
      <c r="B11" s="33">
        <v>50</v>
      </c>
      <c r="C11" s="189">
        <v>50</v>
      </c>
      <c r="D11" s="33">
        <v>18</v>
      </c>
      <c r="E11" s="132">
        <f t="shared" si="0"/>
        <v>36</v>
      </c>
    </row>
    <row r="12" spans="1:9" ht="15.75" thickBot="1" x14ac:dyDescent="0.3">
      <c r="A12" s="202" t="s">
        <v>34</v>
      </c>
      <c r="B12" s="77">
        <v>10</v>
      </c>
      <c r="C12" s="213">
        <v>34</v>
      </c>
      <c r="D12" s="77">
        <v>59</v>
      </c>
      <c r="E12" s="132">
        <f t="shared" si="0"/>
        <v>173.52941176470588</v>
      </c>
    </row>
    <row r="13" spans="1:9" ht="19.5" thickBot="1" x14ac:dyDescent="0.3">
      <c r="A13" s="6" t="s">
        <v>2</v>
      </c>
      <c r="B13" s="43">
        <f>SUM(B17+B21+B25+B29+B14)</f>
        <v>80854</v>
      </c>
      <c r="C13" s="43">
        <f>SUM(C17+C21+C25+C29+C14)</f>
        <v>63705</v>
      </c>
      <c r="D13" s="74">
        <f>D14+D17+D21+D25+D29</f>
        <v>9830</v>
      </c>
      <c r="E13" s="138">
        <f t="shared" si="0"/>
        <v>15.430499960756613</v>
      </c>
    </row>
    <row r="14" spans="1:9" ht="15.75" x14ac:dyDescent="0.25">
      <c r="A14" s="201" t="s">
        <v>7</v>
      </c>
      <c r="B14" s="76">
        <f>SUM(B15:B16)</f>
        <v>3120</v>
      </c>
      <c r="C14" s="188">
        <f>SUM(C15:C16)</f>
        <v>1620</v>
      </c>
      <c r="D14" s="76">
        <f>SUM(D15:D16)</f>
        <v>1905</v>
      </c>
      <c r="E14" s="131">
        <f t="shared" si="0"/>
        <v>117.59259259259258</v>
      </c>
    </row>
    <row r="15" spans="1:9" x14ac:dyDescent="0.25">
      <c r="A15" s="202" t="s">
        <v>16</v>
      </c>
      <c r="B15" s="33">
        <v>3000</v>
      </c>
      <c r="C15" s="189">
        <v>1500</v>
      </c>
      <c r="D15" s="33">
        <v>1885</v>
      </c>
      <c r="E15" s="132">
        <f t="shared" si="0"/>
        <v>125.66666666666666</v>
      </c>
      <c r="I15" s="103"/>
    </row>
    <row r="16" spans="1:9" x14ac:dyDescent="0.25">
      <c r="A16" s="202" t="s">
        <v>17</v>
      </c>
      <c r="B16" s="33">
        <v>120</v>
      </c>
      <c r="C16" s="189">
        <v>120</v>
      </c>
      <c r="D16" s="33">
        <v>20</v>
      </c>
      <c r="E16" s="132">
        <f t="shared" si="0"/>
        <v>16.666666666666664</v>
      </c>
    </row>
    <row r="17" spans="1:5" ht="15.75" x14ac:dyDescent="0.25">
      <c r="A17" s="201" t="s">
        <v>8</v>
      </c>
      <c r="B17" s="31">
        <f>SUM(B18:B20)</f>
        <v>27000</v>
      </c>
      <c r="C17" s="188">
        <f>SUM(C18:C20)</f>
        <v>10400</v>
      </c>
      <c r="D17" s="31">
        <f>SUM(D18:D20)</f>
        <v>2957</v>
      </c>
      <c r="E17" s="32">
        <f t="shared" si="0"/>
        <v>28.43269230769231</v>
      </c>
    </row>
    <row r="18" spans="1:5" x14ac:dyDescent="0.25">
      <c r="A18" s="202" t="s">
        <v>18</v>
      </c>
      <c r="B18" s="33">
        <v>7000</v>
      </c>
      <c r="C18" s="189">
        <v>6000</v>
      </c>
      <c r="D18" s="33">
        <v>2334</v>
      </c>
      <c r="E18" s="132">
        <f t="shared" si="0"/>
        <v>38.9</v>
      </c>
    </row>
    <row r="19" spans="1:5" x14ac:dyDescent="0.25">
      <c r="A19" s="202" t="s">
        <v>55</v>
      </c>
      <c r="B19" s="33">
        <v>3000</v>
      </c>
      <c r="C19" s="189">
        <v>2700</v>
      </c>
      <c r="D19" s="33">
        <v>352</v>
      </c>
      <c r="E19" s="132">
        <f t="shared" si="0"/>
        <v>13.037037037037036</v>
      </c>
    </row>
    <row r="20" spans="1:5" x14ac:dyDescent="0.25">
      <c r="A20" s="202" t="s">
        <v>20</v>
      </c>
      <c r="B20" s="33">
        <v>17000</v>
      </c>
      <c r="C20" s="189">
        <v>1700</v>
      </c>
      <c r="D20" s="33">
        <v>271</v>
      </c>
      <c r="E20" s="132">
        <f t="shared" si="0"/>
        <v>15.941176470588236</v>
      </c>
    </row>
    <row r="21" spans="1:5" ht="15.75" x14ac:dyDescent="0.25">
      <c r="A21" s="201" t="s">
        <v>9</v>
      </c>
      <c r="B21" s="31">
        <f>SUM(B22:B24)</f>
        <v>14500</v>
      </c>
      <c r="C21" s="188">
        <f>SUM(C22:C24)</f>
        <v>12350</v>
      </c>
      <c r="D21" s="31">
        <f>SUM(D22:D24)</f>
        <v>2314</v>
      </c>
      <c r="E21" s="32">
        <f t="shared" si="0"/>
        <v>18.736842105263158</v>
      </c>
    </row>
    <row r="22" spans="1:5" x14ac:dyDescent="0.25">
      <c r="A22" s="202" t="s">
        <v>21</v>
      </c>
      <c r="B22" s="33">
        <v>6000</v>
      </c>
      <c r="C22" s="189">
        <v>5000</v>
      </c>
      <c r="D22" s="33">
        <v>611</v>
      </c>
      <c r="E22" s="132">
        <f t="shared" si="0"/>
        <v>12.22</v>
      </c>
    </row>
    <row r="23" spans="1:5" x14ac:dyDescent="0.25">
      <c r="A23" s="202" t="s">
        <v>22</v>
      </c>
      <c r="B23" s="33">
        <v>1000</v>
      </c>
      <c r="C23" s="189">
        <v>350</v>
      </c>
      <c r="D23" s="33">
        <v>47</v>
      </c>
      <c r="E23" s="132">
        <f t="shared" si="0"/>
        <v>13.428571428571429</v>
      </c>
    </row>
    <row r="24" spans="1:5" x14ac:dyDescent="0.25">
      <c r="A24" s="202" t="s">
        <v>23</v>
      </c>
      <c r="B24" s="33">
        <v>7500</v>
      </c>
      <c r="C24" s="189">
        <v>7000</v>
      </c>
      <c r="D24" s="33">
        <v>1656</v>
      </c>
      <c r="E24" s="132">
        <f t="shared" si="0"/>
        <v>23.657142857142858</v>
      </c>
    </row>
    <row r="25" spans="1:5" ht="15.75" x14ac:dyDescent="0.25">
      <c r="A25" s="201" t="s">
        <v>10</v>
      </c>
      <c r="B25" s="31">
        <f>SUM(B26:B28)</f>
        <v>9108</v>
      </c>
      <c r="C25" s="188">
        <f>SUM(C26:C28)</f>
        <v>6988</v>
      </c>
      <c r="D25" s="31">
        <f>SUM(D26:D28)</f>
        <v>2654</v>
      </c>
      <c r="E25" s="32">
        <f t="shared" si="0"/>
        <v>37.979393245563827</v>
      </c>
    </row>
    <row r="26" spans="1:5" x14ac:dyDescent="0.25">
      <c r="A26" s="202" t="s">
        <v>24</v>
      </c>
      <c r="B26" s="39">
        <v>6537</v>
      </c>
      <c r="C26" s="189">
        <v>4575</v>
      </c>
      <c r="D26" s="39">
        <v>2004</v>
      </c>
      <c r="E26" s="13">
        <f t="shared" si="0"/>
        <v>43.803278688524586</v>
      </c>
    </row>
    <row r="27" spans="1:5" x14ac:dyDescent="0.25">
      <c r="A27" s="202" t="s">
        <v>25</v>
      </c>
      <c r="B27" s="33">
        <v>1871</v>
      </c>
      <c r="C27" s="189">
        <v>1713</v>
      </c>
      <c r="D27" s="33">
        <v>554</v>
      </c>
      <c r="E27" s="132">
        <f t="shared" si="0"/>
        <v>32.340922358435492</v>
      </c>
    </row>
    <row r="28" spans="1:5" x14ac:dyDescent="0.25">
      <c r="A28" s="202" t="s">
        <v>26</v>
      </c>
      <c r="B28" s="33">
        <v>700</v>
      </c>
      <c r="C28" s="192">
        <v>700</v>
      </c>
      <c r="D28" s="33">
        <v>96</v>
      </c>
      <c r="E28" s="132">
        <f t="shared" si="0"/>
        <v>13.714285714285715</v>
      </c>
    </row>
    <row r="29" spans="1:5" ht="15.75" x14ac:dyDescent="0.25">
      <c r="A29" s="201" t="s">
        <v>11</v>
      </c>
      <c r="B29" s="31">
        <f>SUM(B30:B31)</f>
        <v>27126</v>
      </c>
      <c r="C29" s="188">
        <f>SUM(C30:C31)</f>
        <v>32347</v>
      </c>
      <c r="D29" s="31">
        <f>SUM(D30:D31)</f>
        <v>0</v>
      </c>
      <c r="E29" s="32">
        <f t="shared" si="0"/>
        <v>0</v>
      </c>
    </row>
    <row r="30" spans="1:5" x14ac:dyDescent="0.25">
      <c r="A30" s="202" t="s">
        <v>27</v>
      </c>
      <c r="B30" s="33">
        <v>27076</v>
      </c>
      <c r="C30" s="189">
        <v>32297</v>
      </c>
      <c r="D30" s="33">
        <v>0</v>
      </c>
      <c r="E30" s="132">
        <f t="shared" si="0"/>
        <v>0</v>
      </c>
    </row>
    <row r="31" spans="1:5" ht="15.75" thickBot="1" x14ac:dyDescent="0.3">
      <c r="A31" s="202" t="s">
        <v>29</v>
      </c>
      <c r="B31" s="33">
        <v>50</v>
      </c>
      <c r="C31" s="77">
        <v>50</v>
      </c>
      <c r="D31" s="33">
        <v>0</v>
      </c>
      <c r="E31" s="135">
        <f t="shared" si="0"/>
        <v>0</v>
      </c>
    </row>
    <row r="32" spans="1:5" ht="38.25" thickBot="1" x14ac:dyDescent="0.3">
      <c r="A32" s="7" t="s">
        <v>46</v>
      </c>
      <c r="B32" s="101">
        <f>SUM(B5-B13)</f>
        <v>-20899</v>
      </c>
      <c r="C32" s="102">
        <f>SUM(C5-C13)</f>
        <v>-23477</v>
      </c>
      <c r="D32" s="102">
        <f>D5-D13</f>
        <v>14351</v>
      </c>
      <c r="E32" s="110">
        <f>(D32/-C32)*100+100</f>
        <v>161.12791242492654</v>
      </c>
    </row>
    <row r="33" spans="1:5" ht="16.5" thickBot="1" x14ac:dyDescent="0.3">
      <c r="A33" s="8" t="s">
        <v>15</v>
      </c>
      <c r="B33" s="34">
        <v>0</v>
      </c>
      <c r="C33" s="34">
        <v>0</v>
      </c>
      <c r="D33" s="34">
        <v>0</v>
      </c>
      <c r="E33" s="37">
        <v>0</v>
      </c>
    </row>
    <row r="34" spans="1:5" ht="15.75" thickTop="1" x14ac:dyDescent="0.25"/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9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topLeftCell="A10" zoomScale="115" zoomScaleNormal="115" workbookViewId="0"/>
  </sheetViews>
  <sheetFormatPr defaultRowHeight="15" x14ac:dyDescent="0.25"/>
  <cols>
    <col min="1" max="1" width="48.85546875" customWidth="1"/>
    <col min="2" max="2" width="10.85546875" customWidth="1"/>
    <col min="3" max="3" width="11" customWidth="1"/>
    <col min="4" max="4" width="11.140625" customWidth="1"/>
    <col min="5" max="5" width="12.28515625" customWidth="1"/>
  </cols>
  <sheetData>
    <row r="1" spans="1:7" ht="17.25" x14ac:dyDescent="0.3">
      <c r="A1" s="10" t="s">
        <v>5</v>
      </c>
      <c r="B1" s="243" t="s">
        <v>36</v>
      </c>
      <c r="C1" s="243"/>
      <c r="D1" s="243"/>
      <c r="E1" s="243"/>
    </row>
    <row r="2" spans="1:7" ht="15.75" thickBot="1" x14ac:dyDescent="0.3">
      <c r="E2" s="25" t="s">
        <v>39</v>
      </c>
    </row>
    <row r="3" spans="1:7" ht="48.75" thickTop="1" thickBot="1" x14ac:dyDescent="0.3">
      <c r="A3" s="65"/>
      <c r="B3" s="66" t="s">
        <v>112</v>
      </c>
      <c r="C3" s="66" t="s">
        <v>114</v>
      </c>
      <c r="D3" s="66" t="s">
        <v>124</v>
      </c>
      <c r="E3" s="67" t="s">
        <v>125</v>
      </c>
    </row>
    <row r="4" spans="1:7" ht="20.25" thickTop="1" thickBot="1" x14ac:dyDescent="0.35">
      <c r="A4" s="68" t="s">
        <v>1</v>
      </c>
      <c r="B4" s="69">
        <f>SUM(B5+B7)</f>
        <v>17711</v>
      </c>
      <c r="C4" s="69">
        <f>SUM(C5+C7)</f>
        <v>17757</v>
      </c>
      <c r="D4" s="69">
        <f>D5+D7</f>
        <v>10563</v>
      </c>
      <c r="E4" s="70">
        <f>(D4/C4)*100</f>
        <v>59.486399729684067</v>
      </c>
    </row>
    <row r="5" spans="1:7" ht="15.75" x14ac:dyDescent="0.25">
      <c r="A5" s="5" t="s">
        <v>12</v>
      </c>
      <c r="B5" s="31">
        <f>SUM(B6)</f>
        <v>20002</v>
      </c>
      <c r="C5" s="76">
        <f>SUM(C6)</f>
        <v>20002</v>
      </c>
      <c r="D5" s="31">
        <f>SUM(D6)</f>
        <v>10480</v>
      </c>
      <c r="E5" s="131">
        <f>(D5/C5)*100</f>
        <v>52.394760523947603</v>
      </c>
    </row>
    <row r="6" spans="1:7" x14ac:dyDescent="0.25">
      <c r="A6" s="1" t="s">
        <v>31</v>
      </c>
      <c r="B6" s="33">
        <v>20002</v>
      </c>
      <c r="C6" s="33">
        <v>20002</v>
      </c>
      <c r="D6" s="33">
        <v>10480</v>
      </c>
      <c r="E6" s="132">
        <f>D6/C6*100</f>
        <v>52.394760523947603</v>
      </c>
    </row>
    <row r="7" spans="1:7" ht="15.75" x14ac:dyDescent="0.25">
      <c r="A7" s="5" t="s">
        <v>14</v>
      </c>
      <c r="B7" s="31">
        <f>SUM(B8:B11)</f>
        <v>-2291</v>
      </c>
      <c r="C7" s="31">
        <f>SUM(C8:C11)</f>
        <v>-2245</v>
      </c>
      <c r="D7" s="194">
        <f>SUM(D8:D11)</f>
        <v>83</v>
      </c>
      <c r="E7" s="32">
        <f>(D7/-C7)*100+100</f>
        <v>103.69710467706014</v>
      </c>
    </row>
    <row r="8" spans="1:7" x14ac:dyDescent="0.25">
      <c r="A8" s="1" t="s">
        <v>43</v>
      </c>
      <c r="B8" s="33">
        <v>-2336</v>
      </c>
      <c r="C8" s="33">
        <v>-2345</v>
      </c>
      <c r="D8" s="196">
        <v>0</v>
      </c>
      <c r="E8" s="13">
        <f>(D8/C8)*100</f>
        <v>0</v>
      </c>
    </row>
    <row r="9" spans="1:7" x14ac:dyDescent="0.25">
      <c r="A9" s="1" t="s">
        <v>33</v>
      </c>
      <c r="B9" s="33">
        <v>30</v>
      </c>
      <c r="C9" s="33">
        <v>30</v>
      </c>
      <c r="D9" s="17">
        <v>20</v>
      </c>
      <c r="E9" s="13">
        <f>(D9/C9)*100</f>
        <v>66.666666666666657</v>
      </c>
    </row>
    <row r="10" spans="1:7" x14ac:dyDescent="0.25">
      <c r="A10" s="1" t="s">
        <v>30</v>
      </c>
      <c r="B10" s="33">
        <v>0</v>
      </c>
      <c r="C10" s="33">
        <v>55</v>
      </c>
      <c r="D10" s="17">
        <v>56</v>
      </c>
      <c r="E10" s="195">
        <f>SUM((D10/C10)*100)</f>
        <v>101.81818181818181</v>
      </c>
    </row>
    <row r="11" spans="1:7" ht="15.75" thickBot="1" x14ac:dyDescent="0.3">
      <c r="A11" s="1" t="s">
        <v>34</v>
      </c>
      <c r="B11" s="77">
        <v>15</v>
      </c>
      <c r="C11" s="77">
        <v>15</v>
      </c>
      <c r="D11" s="17">
        <v>7</v>
      </c>
      <c r="E11" s="13">
        <f t="shared" ref="E11:E27" si="0">(D11/C11)*100</f>
        <v>46.666666666666664</v>
      </c>
    </row>
    <row r="12" spans="1:7" ht="19.5" thickBot="1" x14ac:dyDescent="0.35">
      <c r="A12" s="6" t="s">
        <v>2</v>
      </c>
      <c r="B12" s="43">
        <f>SUM(B15+B17+B21+B25+B13)</f>
        <v>8925</v>
      </c>
      <c r="C12" s="43">
        <f>SUM(C15+C17+C21+C25+C13)</f>
        <v>8937</v>
      </c>
      <c r="D12" s="43">
        <f>D13+D15+D17+D21+D25</f>
        <v>3228</v>
      </c>
      <c r="E12" s="12">
        <f t="shared" si="0"/>
        <v>36.11950318898959</v>
      </c>
    </row>
    <row r="13" spans="1:7" ht="15.75" x14ac:dyDescent="0.25">
      <c r="A13" s="5" t="s">
        <v>7</v>
      </c>
      <c r="B13" s="76">
        <f>SUM(B14)</f>
        <v>250</v>
      </c>
      <c r="C13" s="76">
        <f>SUM(C14)</f>
        <v>250</v>
      </c>
      <c r="D13" s="75">
        <f>SUM(D14)</f>
        <v>78</v>
      </c>
      <c r="E13" s="32">
        <f t="shared" si="0"/>
        <v>31.2</v>
      </c>
    </row>
    <row r="14" spans="1:7" x14ac:dyDescent="0.25">
      <c r="A14" s="1" t="s">
        <v>17</v>
      </c>
      <c r="B14" s="33">
        <v>250</v>
      </c>
      <c r="C14" s="189">
        <v>250</v>
      </c>
      <c r="D14" s="33">
        <v>78</v>
      </c>
      <c r="E14" s="132">
        <f t="shared" si="0"/>
        <v>31.2</v>
      </c>
    </row>
    <row r="15" spans="1:7" ht="15.75" x14ac:dyDescent="0.25">
      <c r="A15" s="5" t="s">
        <v>8</v>
      </c>
      <c r="B15" s="31">
        <f>SUM(B16)</f>
        <v>50</v>
      </c>
      <c r="C15" s="188">
        <f>SUM(C16)</f>
        <v>50</v>
      </c>
      <c r="D15" s="31">
        <f>SUM(D16)</f>
        <v>2</v>
      </c>
      <c r="E15" s="32">
        <f t="shared" si="0"/>
        <v>4</v>
      </c>
    </row>
    <row r="16" spans="1:7" x14ac:dyDescent="0.25">
      <c r="A16" s="1" t="s">
        <v>18</v>
      </c>
      <c r="B16" s="33">
        <v>50</v>
      </c>
      <c r="C16" s="189">
        <v>50</v>
      </c>
      <c r="D16" s="78">
        <v>2</v>
      </c>
      <c r="E16" s="133">
        <f t="shared" si="0"/>
        <v>4</v>
      </c>
      <c r="G16" s="127"/>
    </row>
    <row r="17" spans="1:5" ht="15.75" x14ac:dyDescent="0.25">
      <c r="A17" s="5" t="s">
        <v>9</v>
      </c>
      <c r="B17" s="31">
        <f>SUM(B18:B20)</f>
        <v>665</v>
      </c>
      <c r="C17" s="188">
        <f>SUM(C18:C20)</f>
        <v>665</v>
      </c>
      <c r="D17" s="31">
        <f>SUM(D18:D20)</f>
        <v>326</v>
      </c>
      <c r="E17" s="32">
        <f t="shared" si="0"/>
        <v>49.022556390977442</v>
      </c>
    </row>
    <row r="18" spans="1:5" x14ac:dyDescent="0.25">
      <c r="A18" s="1" t="s">
        <v>21</v>
      </c>
      <c r="B18" s="33">
        <v>20</v>
      </c>
      <c r="C18" s="33">
        <v>20</v>
      </c>
      <c r="D18" s="17">
        <v>0</v>
      </c>
      <c r="E18" s="132">
        <f t="shared" si="0"/>
        <v>0</v>
      </c>
    </row>
    <row r="19" spans="1:5" x14ac:dyDescent="0.25">
      <c r="A19" s="1" t="s">
        <v>22</v>
      </c>
      <c r="B19" s="33">
        <v>100</v>
      </c>
      <c r="C19" s="33">
        <v>100</v>
      </c>
      <c r="D19" s="17">
        <v>23</v>
      </c>
      <c r="E19" s="132">
        <f t="shared" si="0"/>
        <v>23</v>
      </c>
    </row>
    <row r="20" spans="1:5" x14ac:dyDescent="0.25">
      <c r="A20" s="1" t="s">
        <v>23</v>
      </c>
      <c r="B20" s="33">
        <v>545</v>
      </c>
      <c r="C20" s="189">
        <v>545</v>
      </c>
      <c r="D20" s="33">
        <v>303</v>
      </c>
      <c r="E20" s="132">
        <f t="shared" si="0"/>
        <v>55.596330275229356</v>
      </c>
    </row>
    <row r="21" spans="1:5" ht="15.75" x14ac:dyDescent="0.25">
      <c r="A21" s="5" t="s">
        <v>10</v>
      </c>
      <c r="B21" s="31">
        <f>SUM(B22:B24)</f>
        <v>7910</v>
      </c>
      <c r="C21" s="31">
        <f>SUM(C22:C24)</f>
        <v>7922</v>
      </c>
      <c r="D21" s="31">
        <f>SUM(D22:D24)</f>
        <v>2822</v>
      </c>
      <c r="E21" s="134">
        <f t="shared" si="0"/>
        <v>35.622317596566525</v>
      </c>
    </row>
    <row r="22" spans="1:5" x14ac:dyDescent="0.25">
      <c r="A22" s="1" t="s">
        <v>24</v>
      </c>
      <c r="B22" s="33">
        <v>502</v>
      </c>
      <c r="C22" s="78">
        <v>514</v>
      </c>
      <c r="D22" s="78">
        <v>214</v>
      </c>
      <c r="E22" s="132">
        <f t="shared" si="0"/>
        <v>41.634241245136188</v>
      </c>
    </row>
    <row r="23" spans="1:5" x14ac:dyDescent="0.25">
      <c r="A23" s="1" t="s">
        <v>25</v>
      </c>
      <c r="B23" s="33">
        <v>7348</v>
      </c>
      <c r="C23" s="33">
        <v>7348</v>
      </c>
      <c r="D23" s="33">
        <v>2608</v>
      </c>
      <c r="E23" s="132">
        <f t="shared" si="0"/>
        <v>35.492651061513335</v>
      </c>
    </row>
    <row r="24" spans="1:5" x14ac:dyDescent="0.25">
      <c r="A24" s="1" t="s">
        <v>26</v>
      </c>
      <c r="B24" s="33">
        <v>60</v>
      </c>
      <c r="C24" s="33">
        <v>60</v>
      </c>
      <c r="D24" s="17">
        <v>0</v>
      </c>
      <c r="E24" s="132">
        <f t="shared" si="0"/>
        <v>0</v>
      </c>
    </row>
    <row r="25" spans="1:5" ht="15.75" x14ac:dyDescent="0.25">
      <c r="A25" s="5" t="s">
        <v>11</v>
      </c>
      <c r="B25" s="31">
        <f>SUM(B26)</f>
        <v>50</v>
      </c>
      <c r="C25" s="188">
        <f>SUM(C26)</f>
        <v>50</v>
      </c>
      <c r="D25" s="31">
        <f>SUM(D26)</f>
        <v>0</v>
      </c>
      <c r="E25" s="32">
        <f t="shared" si="0"/>
        <v>0</v>
      </c>
    </row>
    <row r="26" spans="1:5" ht="15.75" thickBot="1" x14ac:dyDescent="0.3">
      <c r="A26" s="1" t="s">
        <v>29</v>
      </c>
      <c r="B26" s="77">
        <v>50</v>
      </c>
      <c r="C26" s="213">
        <v>50</v>
      </c>
      <c r="D26" s="33">
        <v>0</v>
      </c>
      <c r="E26" s="135">
        <f t="shared" si="0"/>
        <v>0</v>
      </c>
    </row>
    <row r="27" spans="1:5" ht="38.25" thickBot="1" x14ac:dyDescent="0.3">
      <c r="A27" s="7" t="s">
        <v>46</v>
      </c>
      <c r="B27" s="15">
        <f>SUM(B4-B12)</f>
        <v>8786</v>
      </c>
      <c r="C27" s="43">
        <f>SUM(C4-C12)</f>
        <v>8820</v>
      </c>
      <c r="D27" s="43">
        <f>D4-D12</f>
        <v>7335</v>
      </c>
      <c r="E27" s="14">
        <f t="shared" si="0"/>
        <v>83.16326530612244</v>
      </c>
    </row>
    <row r="28" spans="1:5" ht="16.5" thickBot="1" x14ac:dyDescent="0.3">
      <c r="A28" s="8" t="s">
        <v>15</v>
      </c>
      <c r="B28" s="34">
        <v>0</v>
      </c>
      <c r="C28" s="34">
        <v>0</v>
      </c>
      <c r="D28" s="34">
        <v>0</v>
      </c>
      <c r="E28" s="136">
        <v>0</v>
      </c>
    </row>
    <row r="29" spans="1:5" ht="15.75" thickTop="1" x14ac:dyDescent="0.25">
      <c r="B29" s="17"/>
      <c r="C29" s="17"/>
    </row>
  </sheetData>
  <mergeCells count="1">
    <mergeCell ref="B1:E1"/>
  </mergeCells>
  <pageMargins left="0.82677165354330717" right="0.23622047244094491" top="0.74803149606299213" bottom="0.74803149606299213" header="0.31496062992125984" footer="0.31496062992125984"/>
  <pageSetup paperSize="9" scale="97" fitToHeight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M11"/>
  <sheetViews>
    <sheetView zoomScaleNormal="100" workbookViewId="0">
      <selection activeCell="E20" sqref="E20"/>
    </sheetView>
  </sheetViews>
  <sheetFormatPr defaultRowHeight="15" x14ac:dyDescent="0.25"/>
  <cols>
    <col min="1" max="1" width="26" customWidth="1"/>
    <col min="2" max="3" width="12.5703125" customWidth="1"/>
    <col min="4" max="4" width="11.5703125" customWidth="1"/>
    <col min="5" max="5" width="12.42578125" customWidth="1"/>
    <col min="6" max="10" width="12.5703125" customWidth="1"/>
    <col min="11" max="11" width="10" customWidth="1"/>
    <col min="12" max="12" width="10.28515625" customWidth="1"/>
    <col min="13" max="13" width="14" customWidth="1"/>
  </cols>
  <sheetData>
    <row r="1" spans="1:13" ht="23.25" x14ac:dyDescent="0.25">
      <c r="A1" s="241" t="s">
        <v>135</v>
      </c>
      <c r="B1" s="241"/>
      <c r="C1" s="241"/>
      <c r="D1" s="241"/>
      <c r="E1" s="241"/>
      <c r="F1" s="241"/>
      <c r="G1" s="241"/>
      <c r="H1" s="241"/>
      <c r="I1" s="241"/>
      <c r="J1" s="241"/>
    </row>
    <row r="2" spans="1:13" ht="15.75" thickBot="1" x14ac:dyDescent="0.3">
      <c r="J2" s="25" t="s">
        <v>39</v>
      </c>
    </row>
    <row r="3" spans="1:13" ht="17.25" thickTop="1" thickBot="1" x14ac:dyDescent="0.3">
      <c r="A3" s="236" t="s">
        <v>0</v>
      </c>
      <c r="B3" s="237" t="s">
        <v>1</v>
      </c>
      <c r="C3" s="238"/>
      <c r="D3" s="238"/>
      <c r="E3" s="239"/>
      <c r="F3" s="237" t="s">
        <v>2</v>
      </c>
      <c r="G3" s="238"/>
      <c r="H3" s="238"/>
      <c r="I3" s="239"/>
      <c r="J3" s="237" t="s">
        <v>3</v>
      </c>
      <c r="K3" s="238"/>
      <c r="L3" s="238"/>
      <c r="M3" s="239"/>
    </row>
    <row r="4" spans="1:13" ht="48.75" thickTop="1" thickBot="1" x14ac:dyDescent="0.3">
      <c r="A4" s="236"/>
      <c r="B4" s="3" t="s">
        <v>112</v>
      </c>
      <c r="C4" s="3" t="s">
        <v>118</v>
      </c>
      <c r="D4" s="4" t="s">
        <v>124</v>
      </c>
      <c r="E4" s="3" t="s">
        <v>132</v>
      </c>
      <c r="F4" s="3" t="str">
        <f>B4</f>
        <v>SFP                        2026</v>
      </c>
      <c r="G4" s="3" t="str">
        <f>C4</f>
        <v>3.ÚFP                        2026</v>
      </c>
      <c r="H4" s="4" t="str">
        <f>D4</f>
        <v>SK 30.06.2026</v>
      </c>
      <c r="I4" s="3" t="str">
        <f>E4</f>
        <v>%                                                  SK/3.ÚFP 2026</v>
      </c>
      <c r="J4" s="3" t="str">
        <f>B4</f>
        <v>SFP                        2026</v>
      </c>
      <c r="K4" s="3" t="str">
        <f>C4</f>
        <v>3.ÚFP                        2026</v>
      </c>
      <c r="L4" s="4" t="str">
        <f>H4</f>
        <v>SK 30.06.2026</v>
      </c>
      <c r="M4" s="3" t="str">
        <f>E4</f>
        <v>%                                                  SK/3.ÚFP 2026</v>
      </c>
    </row>
    <row r="5" spans="1:13" ht="30" customHeight="1" thickTop="1" thickBot="1" x14ac:dyDescent="0.3">
      <c r="A5" s="44" t="s">
        <v>57</v>
      </c>
      <c r="B5" s="95">
        <f>'org. 140'!B4</f>
        <v>13487</v>
      </c>
      <c r="C5" s="84">
        <f>'org. 140'!C4</f>
        <v>13487</v>
      </c>
      <c r="D5" s="85">
        <f>+'org. 140'!D4</f>
        <v>7859</v>
      </c>
      <c r="E5" s="62">
        <f>(D5/B5)*100</f>
        <v>58.270927559872462</v>
      </c>
      <c r="F5" s="84">
        <f>'org. 140'!B10</f>
        <v>5</v>
      </c>
      <c r="G5" s="84">
        <f>'org. 140'!C10</f>
        <v>5</v>
      </c>
      <c r="H5" s="85">
        <f>+'org. 140'!D10</f>
        <v>4</v>
      </c>
      <c r="I5" s="62">
        <f>(H5/F5)*100</f>
        <v>80</v>
      </c>
      <c r="J5" s="86">
        <f>+'org. 140'!B13</f>
        <v>13482</v>
      </c>
      <c r="K5" s="86">
        <f>+'org. 140'!C13</f>
        <v>13482</v>
      </c>
      <c r="L5" s="87">
        <f>+'org. 140'!D13</f>
        <v>7855</v>
      </c>
      <c r="M5" s="62">
        <f>(L5/J5)*100</f>
        <v>58.262869010532562</v>
      </c>
    </row>
    <row r="6" spans="1:13" ht="30" customHeight="1" thickBot="1" x14ac:dyDescent="0.3">
      <c r="A6" s="51" t="s">
        <v>58</v>
      </c>
      <c r="B6" s="95">
        <f>'org. 333'!B4</f>
        <v>2253</v>
      </c>
      <c r="C6" s="84">
        <f>'org. 333'!C4</f>
        <v>2253</v>
      </c>
      <c r="D6" s="85">
        <f>+'org. 333'!D4</f>
        <v>930</v>
      </c>
      <c r="E6" s="62">
        <f>(D6/B6)*100</f>
        <v>41.278295605858858</v>
      </c>
      <c r="F6" s="88">
        <f>'org. 333'!B14</f>
        <v>573</v>
      </c>
      <c r="G6" s="88">
        <f>'org. 333'!C14</f>
        <v>573</v>
      </c>
      <c r="H6" s="89">
        <f>+'org. 333'!D14</f>
        <v>243</v>
      </c>
      <c r="I6" s="62">
        <f>(H6/F6)*100</f>
        <v>42.408376963350783</v>
      </c>
      <c r="J6" s="86">
        <f>+'org. 333'!B22</f>
        <v>1680</v>
      </c>
      <c r="K6" s="86">
        <f>+'org. 333'!C22</f>
        <v>1680</v>
      </c>
      <c r="L6" s="87">
        <f>+'org. 333'!D22</f>
        <v>687</v>
      </c>
      <c r="M6" s="62">
        <f>(L6/J6)*100</f>
        <v>40.892857142857139</v>
      </c>
    </row>
    <row r="7" spans="1:13" ht="30" customHeight="1" thickTop="1" thickBot="1" x14ac:dyDescent="0.3">
      <c r="A7" s="61" t="s">
        <v>4</v>
      </c>
      <c r="B7" s="58">
        <f>SUM(B5:B6)</f>
        <v>15740</v>
      </c>
      <c r="C7" s="58">
        <f>SUM(C5:C6)</f>
        <v>15740</v>
      </c>
      <c r="D7" s="59">
        <f>SUM(D5:D6)</f>
        <v>8789</v>
      </c>
      <c r="E7" s="60">
        <f>(D7/B7)*100</f>
        <v>55.838627700127063</v>
      </c>
      <c r="F7" s="58">
        <f>SUM(F5:F6)</f>
        <v>578</v>
      </c>
      <c r="G7" s="58">
        <f>SUM(G5:G6)</f>
        <v>578</v>
      </c>
      <c r="H7" s="59">
        <f>SUM(H5:H6)</f>
        <v>247</v>
      </c>
      <c r="I7" s="60">
        <f>(H7/F7)*100</f>
        <v>42.733564013840834</v>
      </c>
      <c r="J7" s="58">
        <f>SUM(J5:J6)</f>
        <v>15162</v>
      </c>
      <c r="K7" s="58">
        <f>SUM(K5:K6)</f>
        <v>15162</v>
      </c>
      <c r="L7" s="59">
        <f>SUM(L5:L6)</f>
        <v>8542</v>
      </c>
      <c r="M7" s="60">
        <f>(L7/J7)*100</f>
        <v>56.338213955942486</v>
      </c>
    </row>
    <row r="8" spans="1:13" ht="15.75" thickTop="1" x14ac:dyDescent="0.25">
      <c r="H8" s="17"/>
      <c r="I8" s="17"/>
      <c r="J8" s="19"/>
    </row>
    <row r="9" spans="1:13" ht="15.75" thickBot="1" x14ac:dyDescent="0.3">
      <c r="H9" s="94"/>
      <c r="I9" s="94"/>
      <c r="J9" s="19"/>
    </row>
    <row r="10" spans="1:13" ht="16.5" thickBot="1" x14ac:dyDescent="0.3">
      <c r="A10" s="240" t="s">
        <v>60</v>
      </c>
      <c r="B10" s="240"/>
      <c r="C10" s="240"/>
      <c r="D10" s="240"/>
      <c r="E10" s="240"/>
      <c r="F10" s="240"/>
      <c r="G10" s="244"/>
      <c r="H10" s="92"/>
      <c r="I10" s="93"/>
      <c r="J10" s="21">
        <f>'org. 140'!B14+'org. 333'!B23</f>
        <v>5000</v>
      </c>
      <c r="K10" s="21">
        <f>'org. 140'!C14+'org. 333'!C23</f>
        <v>5000</v>
      </c>
      <c r="L10" s="22">
        <f>'org. 140'!D14+'org. 333'!D23</f>
        <v>2500</v>
      </c>
      <c r="M10" s="104">
        <v>0</v>
      </c>
    </row>
    <row r="11" spans="1:13" x14ac:dyDescent="0.25">
      <c r="H11" s="17"/>
      <c r="I11" s="17"/>
    </row>
  </sheetData>
  <mergeCells count="6">
    <mergeCell ref="A10:G10"/>
    <mergeCell ref="A1:J1"/>
    <mergeCell ref="A3:A4"/>
    <mergeCell ref="B3:E3"/>
    <mergeCell ref="F3:I3"/>
    <mergeCell ref="J3:M3"/>
  </mergeCells>
  <pageMargins left="0.25" right="0.25" top="0.75" bottom="0.75" header="0.3" footer="0.3"/>
  <pageSetup paperSize="9" scale="82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E15"/>
  <sheetViews>
    <sheetView zoomScale="115" zoomScaleNormal="115" workbookViewId="0">
      <selection activeCell="D14" sqref="D14"/>
    </sheetView>
  </sheetViews>
  <sheetFormatPr defaultRowHeight="15" x14ac:dyDescent="0.25"/>
  <cols>
    <col min="1" max="1" width="48.85546875" customWidth="1"/>
    <col min="2" max="4" width="11.85546875" customWidth="1"/>
    <col min="5" max="5" width="12" customWidth="1"/>
  </cols>
  <sheetData>
    <row r="1" spans="1:5" ht="17.25" x14ac:dyDescent="0.3">
      <c r="A1" s="10" t="s">
        <v>5</v>
      </c>
      <c r="B1" s="72" t="s">
        <v>41</v>
      </c>
      <c r="C1" s="72"/>
      <c r="D1" s="72"/>
      <c r="E1" s="11"/>
    </row>
    <row r="2" spans="1:5" ht="15.75" thickBot="1" x14ac:dyDescent="0.3">
      <c r="D2" s="25" t="s">
        <v>39</v>
      </c>
    </row>
    <row r="3" spans="1:5" ht="48.75" thickTop="1" thickBot="1" x14ac:dyDescent="0.3">
      <c r="A3" s="65"/>
      <c r="B3" s="66" t="s">
        <v>112</v>
      </c>
      <c r="C3" s="66" t="s">
        <v>118</v>
      </c>
      <c r="D3" s="66" t="s">
        <v>124</v>
      </c>
      <c r="E3" s="67" t="s">
        <v>133</v>
      </c>
    </row>
    <row r="4" spans="1:5" ht="20.25" thickTop="1" thickBot="1" x14ac:dyDescent="0.35">
      <c r="A4" s="68" t="s">
        <v>1</v>
      </c>
      <c r="B4" s="69">
        <f>SUM(B7+B5)</f>
        <v>13487</v>
      </c>
      <c r="C4" s="69">
        <f>SUM(C7+C5)</f>
        <v>13487</v>
      </c>
      <c r="D4" s="69">
        <f>SUM(D5+D7)</f>
        <v>7859</v>
      </c>
      <c r="E4" s="70">
        <f>(D4/C4)*100</f>
        <v>58.270927559872462</v>
      </c>
    </row>
    <row r="5" spans="1:5" ht="15.75" x14ac:dyDescent="0.25">
      <c r="A5" s="5" t="s">
        <v>12</v>
      </c>
      <c r="B5" s="214">
        <f>SUM(B6:B6)</f>
        <v>71</v>
      </c>
      <c r="C5" s="214">
        <f>SUM(C6:C6)</f>
        <v>71</v>
      </c>
      <c r="D5" s="64">
        <f>SUM(D6:D6)</f>
        <v>71</v>
      </c>
      <c r="E5" s="32">
        <f>+D5/C5*100</f>
        <v>100</v>
      </c>
    </row>
    <row r="6" spans="1:5" x14ac:dyDescent="0.25">
      <c r="A6" s="1" t="s">
        <v>31</v>
      </c>
      <c r="B6" s="71">
        <v>71</v>
      </c>
      <c r="C6" s="71">
        <v>71</v>
      </c>
      <c r="D6" s="71">
        <v>71</v>
      </c>
      <c r="E6" s="13">
        <f>+D6/C6*100</f>
        <v>100</v>
      </c>
    </row>
    <row r="7" spans="1:5" ht="15.75" x14ac:dyDescent="0.25">
      <c r="A7" s="5" t="s">
        <v>14</v>
      </c>
      <c r="B7" s="31">
        <f>SUM(B8:B9)</f>
        <v>13416</v>
      </c>
      <c r="C7" s="31">
        <f>SUM(C8:C9)</f>
        <v>13416</v>
      </c>
      <c r="D7" s="31">
        <f>SUM(D8:D9)</f>
        <v>7788</v>
      </c>
      <c r="E7" s="32">
        <f>+D7/C7*100</f>
        <v>58.050089445438282</v>
      </c>
    </row>
    <row r="8" spans="1:5" ht="15.75" x14ac:dyDescent="0.25">
      <c r="A8" s="24" t="s">
        <v>43</v>
      </c>
      <c r="B8" s="100">
        <v>-3584</v>
      </c>
      <c r="C8" s="100">
        <v>-3584</v>
      </c>
      <c r="D8" s="103">
        <v>0</v>
      </c>
      <c r="E8" s="203">
        <f>+D8/C8*100</f>
        <v>0</v>
      </c>
    </row>
    <row r="9" spans="1:5" ht="15.75" thickBot="1" x14ac:dyDescent="0.3">
      <c r="A9" s="1" t="s">
        <v>33</v>
      </c>
      <c r="B9" s="33">
        <v>17000</v>
      </c>
      <c r="C9" s="33">
        <v>17000</v>
      </c>
      <c r="D9" s="17">
        <v>7788</v>
      </c>
      <c r="E9" s="204">
        <f>+D9/C9*100</f>
        <v>45.811764705882354</v>
      </c>
    </row>
    <row r="10" spans="1:5" ht="19.5" thickBot="1" x14ac:dyDescent="0.35">
      <c r="A10" s="6" t="s">
        <v>2</v>
      </c>
      <c r="B10" s="43">
        <f>SUM(B11)</f>
        <v>5</v>
      </c>
      <c r="C10" s="43">
        <f>SUM(C11)</f>
        <v>5</v>
      </c>
      <c r="D10" s="43">
        <f>SUM(D11:D11)</f>
        <v>4</v>
      </c>
      <c r="E10" s="12">
        <f>(D10/C10)*100</f>
        <v>80</v>
      </c>
    </row>
    <row r="11" spans="1:5" ht="15.75" x14ac:dyDescent="0.25">
      <c r="A11" s="5" t="s">
        <v>9</v>
      </c>
      <c r="B11" s="31">
        <f>SUM(B12:B12)</f>
        <v>5</v>
      </c>
      <c r="C11" s="31">
        <f>SUM(C12:C12)</f>
        <v>5</v>
      </c>
      <c r="D11" s="31">
        <f>SUM(D12:D12)</f>
        <v>4</v>
      </c>
      <c r="E11" s="32">
        <f>+D11/C11*100</f>
        <v>80</v>
      </c>
    </row>
    <row r="12" spans="1:5" ht="15.75" thickBot="1" x14ac:dyDescent="0.3">
      <c r="A12" s="1" t="s">
        <v>23</v>
      </c>
      <c r="B12" s="33">
        <v>5</v>
      </c>
      <c r="C12" s="33">
        <v>5</v>
      </c>
      <c r="D12" s="17">
        <v>4</v>
      </c>
      <c r="E12" s="13">
        <f>+D12/C12*100</f>
        <v>80</v>
      </c>
    </row>
    <row r="13" spans="1:5" ht="38.25" thickBot="1" x14ac:dyDescent="0.3">
      <c r="A13" s="7" t="s">
        <v>46</v>
      </c>
      <c r="B13" s="43">
        <f>SUM(B4-B10)</f>
        <v>13482</v>
      </c>
      <c r="C13" s="43">
        <f>SUM(C4-C10)</f>
        <v>13482</v>
      </c>
      <c r="D13" s="43">
        <f>SUM(D4-D10)</f>
        <v>7855</v>
      </c>
      <c r="E13" s="18">
        <f>(D13/C13)*100</f>
        <v>58.262869010532562</v>
      </c>
    </row>
    <row r="14" spans="1:5" ht="16.5" thickBot="1" x14ac:dyDescent="0.3">
      <c r="A14" s="8" t="s">
        <v>15</v>
      </c>
      <c r="B14" s="34">
        <v>5000</v>
      </c>
      <c r="C14" s="34">
        <v>5000</v>
      </c>
      <c r="D14" s="34">
        <v>2500</v>
      </c>
      <c r="E14" s="37">
        <f>+D14/C14*100</f>
        <v>50</v>
      </c>
    </row>
    <row r="15" spans="1:5" ht="15.75" thickTop="1" x14ac:dyDescent="0.25">
      <c r="B15" s="17"/>
      <c r="C15" s="17"/>
    </row>
  </sheetData>
  <pageMargins left="0.82677165354330717" right="0.23622047244094491" top="0.74803149606299213" bottom="0.74803149606299213" header="0.31496062992125984" footer="0.31496062992125984"/>
  <pageSetup paperSize="9" scale="95" fitToHeight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E29"/>
  <sheetViews>
    <sheetView topLeftCell="A3" zoomScale="115" zoomScaleNormal="115" workbookViewId="0">
      <selection activeCell="E11" sqref="E11"/>
    </sheetView>
  </sheetViews>
  <sheetFormatPr defaultRowHeight="15" x14ac:dyDescent="0.25"/>
  <cols>
    <col min="1" max="1" width="48.85546875" customWidth="1"/>
    <col min="2" max="2" width="9.7109375" customWidth="1"/>
    <col min="3" max="3" width="10" customWidth="1"/>
    <col min="4" max="4" width="11.5703125" customWidth="1"/>
    <col min="5" max="5" width="14.28515625" customWidth="1"/>
  </cols>
  <sheetData>
    <row r="1" spans="1:5" ht="17.25" x14ac:dyDescent="0.3">
      <c r="A1" s="10" t="s">
        <v>5</v>
      </c>
      <c r="B1" s="10"/>
      <c r="C1" s="243" t="s">
        <v>42</v>
      </c>
      <c r="D1" s="243"/>
      <c r="E1" s="243"/>
    </row>
    <row r="2" spans="1:5" ht="15.75" thickBot="1" x14ac:dyDescent="0.3">
      <c r="E2" s="25" t="s">
        <v>39</v>
      </c>
    </row>
    <row r="3" spans="1:5" ht="48.75" thickTop="1" thickBot="1" x14ac:dyDescent="0.3">
      <c r="A3" s="105"/>
      <c r="B3" s="66" t="s">
        <v>112</v>
      </c>
      <c r="C3" s="66" t="s">
        <v>118</v>
      </c>
      <c r="D3" s="66" t="s">
        <v>124</v>
      </c>
      <c r="E3" s="67" t="s">
        <v>134</v>
      </c>
    </row>
    <row r="4" spans="1:5" ht="20.25" thickTop="1" thickBot="1" x14ac:dyDescent="0.35">
      <c r="A4" s="106" t="s">
        <v>1</v>
      </c>
      <c r="B4" s="69">
        <f>SUM(B5+B8+B10)</f>
        <v>2253</v>
      </c>
      <c r="C4" s="69">
        <f>SUM(C5+C8+C10)</f>
        <v>2253</v>
      </c>
      <c r="D4" s="69">
        <f>SUM(D5+D8+D10)</f>
        <v>930</v>
      </c>
      <c r="E4" s="70">
        <f t="shared" ref="E4:E9" si="0">(D4/C4)*100</f>
        <v>41.278295605858858</v>
      </c>
    </row>
    <row r="5" spans="1:5" ht="15.75" x14ac:dyDescent="0.25">
      <c r="A5" s="5" t="s">
        <v>12</v>
      </c>
      <c r="B5" s="31">
        <f>SUM(B6:B7)</f>
        <v>2504</v>
      </c>
      <c r="C5" s="31">
        <f>SUM(C6:C7)</f>
        <v>2504</v>
      </c>
      <c r="D5" s="31">
        <f>SUM(D6:D7)</f>
        <v>829</v>
      </c>
      <c r="E5" s="131">
        <f t="shared" si="0"/>
        <v>33.10702875399361</v>
      </c>
    </row>
    <row r="6" spans="1:5" x14ac:dyDescent="0.25">
      <c r="A6" s="1" t="s">
        <v>31</v>
      </c>
      <c r="B6" s="33">
        <v>4</v>
      </c>
      <c r="C6" s="33">
        <v>4</v>
      </c>
      <c r="D6" s="33">
        <v>1</v>
      </c>
      <c r="E6" s="132">
        <f t="shared" si="0"/>
        <v>25</v>
      </c>
    </row>
    <row r="7" spans="1:5" x14ac:dyDescent="0.25">
      <c r="A7" s="1" t="s">
        <v>35</v>
      </c>
      <c r="B7" s="33">
        <v>2500</v>
      </c>
      <c r="C7" s="33">
        <v>2500</v>
      </c>
      <c r="D7" s="33">
        <v>828</v>
      </c>
      <c r="E7" s="132">
        <f t="shared" si="0"/>
        <v>33.119999999999997</v>
      </c>
    </row>
    <row r="8" spans="1:5" ht="15.75" x14ac:dyDescent="0.25">
      <c r="A8" s="5" t="s">
        <v>13</v>
      </c>
      <c r="B8" s="31">
        <f>SUM(B9:B9)</f>
        <v>45</v>
      </c>
      <c r="C8" s="31">
        <f>SUM(C9:C9)</f>
        <v>45</v>
      </c>
      <c r="D8" s="31">
        <f>SUM(D9:D9)</f>
        <v>30</v>
      </c>
      <c r="E8" s="32">
        <f t="shared" si="0"/>
        <v>66.666666666666657</v>
      </c>
    </row>
    <row r="9" spans="1:5" x14ac:dyDescent="0.25">
      <c r="A9" s="1" t="s">
        <v>32</v>
      </c>
      <c r="B9" s="33">
        <v>45</v>
      </c>
      <c r="C9" s="33">
        <v>45</v>
      </c>
      <c r="D9" s="33">
        <v>30</v>
      </c>
      <c r="E9" s="132">
        <f t="shared" si="0"/>
        <v>66.666666666666657</v>
      </c>
    </row>
    <row r="10" spans="1:5" ht="15.75" x14ac:dyDescent="0.25">
      <c r="A10" s="5" t="s">
        <v>14</v>
      </c>
      <c r="B10" s="31">
        <f>SUM(B11:B13)</f>
        <v>-296</v>
      </c>
      <c r="C10" s="31">
        <f>SUM(C11:C13)</f>
        <v>-296</v>
      </c>
      <c r="D10" s="31">
        <f>SUM(D11:D13)</f>
        <v>71</v>
      </c>
      <c r="E10" s="32">
        <f>-1*(-100+(D10/C10)*100)</f>
        <v>123.98648648648648</v>
      </c>
    </row>
    <row r="11" spans="1:5" ht="15.75" x14ac:dyDescent="0.25">
      <c r="A11" s="24" t="s">
        <v>43</v>
      </c>
      <c r="B11" s="33">
        <v>-447</v>
      </c>
      <c r="C11" s="33">
        <v>-447</v>
      </c>
      <c r="D11" s="33">
        <v>0</v>
      </c>
      <c r="E11" s="132">
        <f t="shared" ref="E11:E22" si="1">(D11/C11)*100</f>
        <v>0</v>
      </c>
    </row>
    <row r="12" spans="1:5" x14ac:dyDescent="0.25">
      <c r="A12" s="1" t="s">
        <v>33</v>
      </c>
      <c r="B12" s="33">
        <v>45</v>
      </c>
      <c r="C12" s="33">
        <v>45</v>
      </c>
      <c r="D12" s="33">
        <v>25</v>
      </c>
      <c r="E12" s="132">
        <f t="shared" si="1"/>
        <v>55.555555555555557</v>
      </c>
    </row>
    <row r="13" spans="1:5" ht="15.75" thickBot="1" x14ac:dyDescent="0.3">
      <c r="A13" s="1" t="s">
        <v>30</v>
      </c>
      <c r="B13" s="33">
        <v>106</v>
      </c>
      <c r="C13" s="189">
        <v>106</v>
      </c>
      <c r="D13" s="33">
        <v>46</v>
      </c>
      <c r="E13" s="132">
        <f t="shared" si="1"/>
        <v>43.39622641509434</v>
      </c>
    </row>
    <row r="14" spans="1:5" ht="19.5" thickBot="1" x14ac:dyDescent="0.3">
      <c r="A14" s="107" t="s">
        <v>2</v>
      </c>
      <c r="B14" s="43">
        <f>SUM(B17+B19+B15)</f>
        <v>573</v>
      </c>
      <c r="C14" s="43">
        <f>SUM(C17+C19+C15)</f>
        <v>573</v>
      </c>
      <c r="D14" s="43">
        <f>SUM(D15+D17+D19)</f>
        <v>243</v>
      </c>
      <c r="E14" s="138">
        <f t="shared" si="1"/>
        <v>42.408376963350783</v>
      </c>
    </row>
    <row r="15" spans="1:5" ht="15.75" x14ac:dyDescent="0.25">
      <c r="A15" s="5" t="s">
        <v>7</v>
      </c>
      <c r="B15" s="31">
        <f>SUM(B16:B16)</f>
        <v>15</v>
      </c>
      <c r="C15" s="31">
        <f>SUM(C16:C16)</f>
        <v>15</v>
      </c>
      <c r="D15" s="31">
        <f>SUM(D16:D16)</f>
        <v>7</v>
      </c>
      <c r="E15" s="32">
        <f t="shared" si="1"/>
        <v>46.666666666666664</v>
      </c>
    </row>
    <row r="16" spans="1:5" x14ac:dyDescent="0.25">
      <c r="A16" s="1" t="s">
        <v>17</v>
      </c>
      <c r="B16" s="33">
        <v>15</v>
      </c>
      <c r="C16" s="33">
        <v>15</v>
      </c>
      <c r="D16" s="33">
        <v>7</v>
      </c>
      <c r="E16" s="132">
        <f t="shared" si="1"/>
        <v>46.666666666666664</v>
      </c>
    </row>
    <row r="17" spans="1:5" ht="15.75" x14ac:dyDescent="0.25">
      <c r="A17" s="5" t="s">
        <v>9</v>
      </c>
      <c r="B17" s="31">
        <f>SUM(B18:B18)</f>
        <v>32</v>
      </c>
      <c r="C17" s="31">
        <f>SUM(C18:C18)</f>
        <v>32</v>
      </c>
      <c r="D17" s="31">
        <f>SUM(D18:D18)</f>
        <v>19</v>
      </c>
      <c r="E17" s="32">
        <f t="shared" si="1"/>
        <v>59.375</v>
      </c>
    </row>
    <row r="18" spans="1:5" x14ac:dyDescent="0.25">
      <c r="A18" s="1" t="s">
        <v>23</v>
      </c>
      <c r="B18" s="33">
        <v>32</v>
      </c>
      <c r="C18" s="33">
        <v>32</v>
      </c>
      <c r="D18" s="33">
        <v>19</v>
      </c>
      <c r="E18" s="132">
        <f t="shared" si="1"/>
        <v>59.375</v>
      </c>
    </row>
    <row r="19" spans="1:5" ht="15.75" x14ac:dyDescent="0.25">
      <c r="A19" s="5" t="s">
        <v>10</v>
      </c>
      <c r="B19" s="31">
        <f>SUM(B20:B21)</f>
        <v>526</v>
      </c>
      <c r="C19" s="31">
        <f>SUM(C20:C21)</f>
        <v>526</v>
      </c>
      <c r="D19" s="31">
        <f>SUM(D20:D21)</f>
        <v>217</v>
      </c>
      <c r="E19" s="32">
        <f t="shared" si="1"/>
        <v>41.254752851711025</v>
      </c>
    </row>
    <row r="20" spans="1:5" x14ac:dyDescent="0.25">
      <c r="A20" s="1" t="s">
        <v>25</v>
      </c>
      <c r="B20" s="33">
        <v>524</v>
      </c>
      <c r="C20" s="33">
        <v>524</v>
      </c>
      <c r="D20" s="33">
        <v>217</v>
      </c>
      <c r="E20" s="132">
        <f t="shared" si="1"/>
        <v>41.412213740458014</v>
      </c>
    </row>
    <row r="21" spans="1:5" ht="15.75" thickBot="1" x14ac:dyDescent="0.3">
      <c r="A21" s="1" t="s">
        <v>26</v>
      </c>
      <c r="B21" s="33">
        <v>2</v>
      </c>
      <c r="C21" s="33">
        <v>2</v>
      </c>
      <c r="D21" s="33">
        <v>0</v>
      </c>
      <c r="E21" s="135">
        <f t="shared" si="1"/>
        <v>0</v>
      </c>
    </row>
    <row r="22" spans="1:5" ht="38.25" thickBot="1" x14ac:dyDescent="0.3">
      <c r="A22" s="108" t="s">
        <v>46</v>
      </c>
      <c r="B22" s="43">
        <f>SUM(B4-B14)</f>
        <v>1680</v>
      </c>
      <c r="C22" s="43">
        <f>SUM(C4-C14)</f>
        <v>1680</v>
      </c>
      <c r="D22" s="43">
        <f>SUM(D4-D14)</f>
        <v>687</v>
      </c>
      <c r="E22" s="14">
        <f t="shared" si="1"/>
        <v>40.892857142857139</v>
      </c>
    </row>
    <row r="23" spans="1:5" ht="16.5" thickBot="1" x14ac:dyDescent="0.3">
      <c r="A23" s="109" t="s">
        <v>15</v>
      </c>
      <c r="B23" s="34">
        <v>0</v>
      </c>
      <c r="C23" s="34">
        <v>0</v>
      </c>
      <c r="D23" s="34">
        <v>0</v>
      </c>
      <c r="E23" s="63">
        <v>0</v>
      </c>
    </row>
    <row r="24" spans="1:5" ht="15.75" thickTop="1" x14ac:dyDescent="0.25"/>
    <row r="25" spans="1:5" x14ac:dyDescent="0.25">
      <c r="B25" s="17"/>
    </row>
    <row r="26" spans="1:5" x14ac:dyDescent="0.25">
      <c r="B26" s="17"/>
    </row>
    <row r="27" spans="1:5" x14ac:dyDescent="0.25">
      <c r="B27" s="17"/>
    </row>
    <row r="29" spans="1:5" x14ac:dyDescent="0.25">
      <c r="B29" s="17"/>
    </row>
  </sheetData>
  <mergeCells count="1">
    <mergeCell ref="C1:E1"/>
  </mergeCells>
  <pageMargins left="0.82677165354330717" right="0.23622047244094491" top="0.74803149606299213" bottom="0.74803149606299213" header="0.31496062992125984" footer="0.31496062992125984"/>
  <pageSetup paperSize="9" scale="9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11</vt:i4>
      </vt:variant>
    </vt:vector>
  </HeadingPairs>
  <TitlesOfParts>
    <vt:vector size="11" baseType="lpstr">
      <vt:lpstr>Souhrnná tabulka VHČ</vt:lpstr>
      <vt:lpstr>Souhrnná tabulka JMM, a.s.</vt:lpstr>
      <vt:lpstr>org. 5</vt:lpstr>
      <vt:lpstr>org. 7</vt:lpstr>
      <vt:lpstr>org. 9</vt:lpstr>
      <vt:lpstr>org. 9 - jmenovité opravy</vt:lpstr>
      <vt:lpstr>org. 10</vt:lpstr>
      <vt:lpstr>org. 11</vt:lpstr>
      <vt:lpstr>Souhrnná tabulka MČ</vt:lpstr>
      <vt:lpstr>org. 140</vt:lpstr>
      <vt:lpstr>org. 333</vt:lpstr>
    </vt:vector>
  </TitlesOfParts>
  <Company>Úřad městské části Praha 11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Nebohá Stanislava DiS. (EO) P11</dc:creator>
  <cp:lastModifiedBy>Trčková Marie (OKS) P11</cp:lastModifiedBy>
  <cp:lastPrinted>2026-08-25T09:13:19Z</cp:lastPrinted>
  <dcterms:created xsi:type="dcterms:W3CDTF">2019-06-06T11:06:30Z</dcterms:created>
  <dcterms:modified xsi:type="dcterms:W3CDTF">2026-08-31T09:42:45Z</dcterms:modified>
</cp:coreProperties>
</file>